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6" windowWidth="15456" windowHeight="11640" tabRatio="835" firstSheet="5" activeTab="11"/>
  </bookViews>
  <sheets>
    <sheet name="Deckblatt" sheetId="1" r:id="rId1"/>
    <sheet name="Inhaltsverzeichnis" sheetId="2" r:id="rId2"/>
    <sheet name="Erläuterungen" sheetId="3" r:id="rId3"/>
    <sheet name="Allgemeines" sheetId="4" r:id="rId4"/>
    <sheet name="Restabfall" sheetId="5" r:id="rId5"/>
    <sheet name="Sperrmüll" sheetId="6" r:id="rId6"/>
    <sheet name="Bioabfall" sheetId="7" r:id="rId7"/>
    <sheet name="Altpapier" sheetId="8" r:id="rId8"/>
    <sheet name="Altstoffsammelzentrum" sheetId="9" r:id="rId9"/>
    <sheet name="Kosten_Einnahmen_Gebühren" sheetId="10" r:id="rId10"/>
    <sheet name="Definition_Restabfall" sheetId="11" r:id="rId11"/>
    <sheet name="Definition_Sperrmüll" sheetId="12" r:id="rId12"/>
    <sheet name="Definition_Bioabfall" sheetId="13" r:id="rId13"/>
    <sheet name="Definition_Altpapier" sheetId="14" r:id="rId14"/>
    <sheet name="Definition_ASZ" sheetId="15" r:id="rId15"/>
    <sheet name="Definition_Kosten_Geb" sheetId="16" r:id="rId16"/>
  </sheets>
  <definedNames>
    <definedName name="Altpapier" localSheetId="13">'Definition_Altpapier'!$A$4</definedName>
    <definedName name="Altpapier" localSheetId="14">'Definition_ASZ'!#REF!</definedName>
    <definedName name="Altpapier" localSheetId="12">'Definition_Bioabfall'!#REF!</definedName>
    <definedName name="Altpapier" localSheetId="15">'Definition_Kosten_Geb'!#REF!</definedName>
    <definedName name="Altpapier" localSheetId="11">'Definition_Sperrmüll'!#REF!</definedName>
    <definedName name="Altpapier">'Definition_Restabfall'!#REF!</definedName>
    <definedName name="ASZ" localSheetId="13">'Definition_Altpapier'!#REF!</definedName>
    <definedName name="ASZ" localSheetId="14">'Definition_ASZ'!$A$4</definedName>
    <definedName name="ASZ" localSheetId="12">'Definition_Bioabfall'!#REF!</definedName>
    <definedName name="ASZ" localSheetId="15">'Definition_Kosten_Geb'!#REF!</definedName>
    <definedName name="ASZ" localSheetId="11">'Definition_Sperrmüll'!#REF!</definedName>
    <definedName name="ASZ">'Definition_Restabfall'!#REF!</definedName>
    <definedName name="Bioabfall" localSheetId="13">'Definition_Altpapier'!#REF!</definedName>
    <definedName name="Bioabfall" localSheetId="14">'Definition_ASZ'!#REF!</definedName>
    <definedName name="Bioabfall" localSheetId="12">'Definition_Bioabfall'!$A$4</definedName>
    <definedName name="Bioabfall" localSheetId="15">'Definition_Kosten_Geb'!#REF!</definedName>
    <definedName name="Bioabfall" localSheetId="11">'Definition_Sperrmüll'!#REF!</definedName>
    <definedName name="Bioabfall">'Definition_Restabfall'!#REF!</definedName>
    <definedName name="Biomüll" localSheetId="13">'Definition_Altpapier'!#REF!</definedName>
    <definedName name="Biomüll" localSheetId="14">'Definition_ASZ'!#REF!</definedName>
    <definedName name="Biomüll" localSheetId="12">'Definition_Bioabfall'!$A$4</definedName>
    <definedName name="Biomüll" localSheetId="15">'Definition_Kosten_Geb'!#REF!</definedName>
    <definedName name="Biomüll" localSheetId="11">'Definition_Sperrmüll'!#REF!</definedName>
    <definedName name="Biomüll">'Definition_Restabfall'!#REF!</definedName>
    <definedName name="_xlnm.Print_Area" localSheetId="3">'Allgemeines'!$A$1:$X$36</definedName>
    <definedName name="_xlnm.Print_Area" localSheetId="7">'Altpapier'!$A$1:$Y$40</definedName>
    <definedName name="_xlnm.Print_Area" localSheetId="8">'Altstoffsammelzentrum'!$A$1:$Y$66</definedName>
    <definedName name="_xlnm.Print_Area" localSheetId="6">'Bioabfall'!$A$1:$Y$39</definedName>
    <definedName name="_xlnm.Print_Area" localSheetId="0">'Deckblatt'!$A$1:$L$34</definedName>
    <definedName name="_xlnm.Print_Area" localSheetId="13">'Definition_Altpapier'!$A$1:$K$45</definedName>
    <definedName name="_xlnm.Print_Area" localSheetId="14">'Definition_ASZ'!$A$1:$K$44</definedName>
    <definedName name="_xlnm.Print_Area" localSheetId="12">'Definition_Bioabfall'!$A$1:$K$47</definedName>
    <definedName name="_xlnm.Print_Area" localSheetId="15">'Definition_Kosten_Geb'!$A$1:$K$46</definedName>
    <definedName name="_xlnm.Print_Area" localSheetId="10">'Definition_Restabfall'!$A$1:$K$47</definedName>
    <definedName name="_xlnm.Print_Area" localSheetId="11">'Definition_Sperrmüll'!$A$1:$K$44</definedName>
    <definedName name="_xlnm.Print_Area" localSheetId="2">'Erläuterungen'!$A$1:$K$41</definedName>
    <definedName name="_xlnm.Print_Area" localSheetId="1">'Inhaltsverzeichnis'!$A$1:$L$29</definedName>
    <definedName name="_xlnm.Print_Area" localSheetId="9">'Kosten_Einnahmen_Gebühren'!$A$1:$U$28</definedName>
    <definedName name="_xlnm.Print_Area" localSheetId="4">'Restabfall'!$A$1:$Y$42</definedName>
    <definedName name="_xlnm.Print_Area" localSheetId="5">'Sperrmüll'!$A$1:$AA$43</definedName>
    <definedName name="Gebühr" localSheetId="13">'Definition_Altpapier'!#REF!</definedName>
    <definedName name="Gebühr" localSheetId="14">'Definition_ASZ'!#REF!</definedName>
    <definedName name="Gebühr" localSheetId="12">'Definition_Bioabfall'!#REF!</definedName>
    <definedName name="Gebühr" localSheetId="15">'Definition_Kosten_Geb'!$A$4</definedName>
    <definedName name="Gebühr" localSheetId="11">'Definition_Sperrmüll'!#REF!</definedName>
    <definedName name="Gebühr">'Definition_Restabfall'!#REF!</definedName>
    <definedName name="Restmüll" localSheetId="13">'Definition_Altpapier'!#REF!</definedName>
    <definedName name="Restmüll" localSheetId="14">'Definition_ASZ'!#REF!</definedName>
    <definedName name="Restmüll" localSheetId="12">'Definition_Bioabfall'!#REF!</definedName>
    <definedName name="Restmüll" localSheetId="15">'Definition_Kosten_Geb'!#REF!</definedName>
    <definedName name="Restmüll" localSheetId="11">'Definition_Sperrmüll'!#REF!</definedName>
    <definedName name="Restmüll">'Definition_Restabfall'!$A$4</definedName>
    <definedName name="Sperrmüll" localSheetId="13">'Definition_Altpapier'!#REF!</definedName>
    <definedName name="Sperrmüll" localSheetId="14">'Definition_ASZ'!#REF!</definedName>
    <definedName name="Sperrmüll" localSheetId="12">'Definition_Bioabfall'!#REF!</definedName>
    <definedName name="Sperrmüll" localSheetId="15">'Definition_Kosten_Geb'!#REF!</definedName>
    <definedName name="Sperrmüll" localSheetId="11">'Definition_Sperrmüll'!$A$4</definedName>
    <definedName name="Sperrmüll">'Definition_Restabfall'!#REF!</definedName>
  </definedNames>
  <calcPr fullCalcOnLoad="1"/>
</workbook>
</file>

<file path=xl/comments10.xml><?xml version="1.0" encoding="utf-8"?>
<comments xmlns="http://schemas.openxmlformats.org/spreadsheetml/2006/main">
  <authors>
    <author>Dipl.-Ing. Matthias Adloff</author>
  </authors>
  <commentList>
    <comment ref="F12" authorId="0">
      <text>
        <r>
          <rPr>
            <b/>
            <sz val="8"/>
            <rFont val="Tahoma"/>
            <family val="0"/>
          </rPr>
          <t>sofern gesondert über eine Gebühr erfasst</t>
        </r>
      </text>
    </comment>
    <comment ref="F13" authorId="0">
      <text>
        <r>
          <rPr>
            <b/>
            <sz val="8"/>
            <rFont val="Tahoma"/>
            <family val="0"/>
          </rPr>
          <t>sofern gesondert über eine Gebühr erfasst</t>
        </r>
      </text>
    </comment>
    <comment ref="G12" authorId="0">
      <text>
        <r>
          <rPr>
            <b/>
            <sz val="8"/>
            <rFont val="Tahoma"/>
            <family val="0"/>
          </rPr>
          <t>sofern gesondert über eine Gebühr erfasst</t>
        </r>
      </text>
    </comment>
    <comment ref="G13" authorId="0">
      <text>
        <r>
          <rPr>
            <b/>
            <sz val="8"/>
            <rFont val="Tahoma"/>
            <family val="0"/>
          </rPr>
          <t>sofern gesondert über eine Gebühr erfasst</t>
        </r>
      </text>
    </comment>
    <comment ref="F14" authorId="0">
      <text>
        <r>
          <rPr>
            <b/>
            <sz val="8"/>
            <rFont val="Tahoma"/>
            <family val="0"/>
          </rPr>
          <t>sofern gesondert über eine Gebühr erfasst</t>
        </r>
      </text>
    </comment>
    <comment ref="G14" authorId="0">
      <text>
        <r>
          <rPr>
            <b/>
            <sz val="8"/>
            <rFont val="Tahoma"/>
            <family val="0"/>
          </rPr>
          <t>sofern gesondert über eine Gebühr erfasst</t>
        </r>
      </text>
    </comment>
  </commentList>
</comments>
</file>

<file path=xl/comments3.xml><?xml version="1.0" encoding="utf-8"?>
<comments xmlns="http://schemas.openxmlformats.org/spreadsheetml/2006/main">
  <authors>
    <author>Dipl.-Ing. M. Adloff</author>
  </authors>
  <commentList>
    <comment ref="G18" authorId="0">
      <text>
        <r>
          <rPr>
            <b/>
            <sz val="8"/>
            <rFont val="Tahoma"/>
            <family val="0"/>
          </rPr>
          <t>Kommentar-Feld</t>
        </r>
        <r>
          <rPr>
            <sz val="8"/>
            <rFont val="Tahoma"/>
            <family val="0"/>
          </rPr>
          <t xml:space="preserve">
</t>
        </r>
      </text>
    </comment>
  </commentList>
</comments>
</file>

<file path=xl/comments4.xml><?xml version="1.0" encoding="utf-8"?>
<comments xmlns="http://schemas.openxmlformats.org/spreadsheetml/2006/main">
  <authors>
    <author>Dipl.-Ing. Matthias Adloff</author>
  </authors>
  <commentList>
    <comment ref="F18" authorId="0">
      <text>
        <r>
          <rPr>
            <b/>
            <sz val="8"/>
            <rFont val="Tahoma"/>
            <family val="0"/>
          </rPr>
          <t>Summe aller Fremdennächtigungen im obigen Untersuchungsjahr</t>
        </r>
      </text>
    </comment>
    <comment ref="F21" authorId="0">
      <text>
        <r>
          <rPr>
            <b/>
            <sz val="8"/>
            <rFont val="Tahoma"/>
            <family val="0"/>
          </rPr>
          <t xml:space="preserve">eine geringere Anschlussquote kann auftreten, wenn beispielsweise für einen 
Teil des Gemeindegebietes  (z. B. an Großwohnanlagen o. ä.) keine Bioabfallsammlung vorgesehen ist, oder eine Vielzahl von Bürgern durch Eigenkompostierung die Bioabfallsammlung nicht nutzen. </t>
        </r>
      </text>
    </comment>
    <comment ref="F22" authorId="0">
      <text>
        <r>
          <rPr>
            <b/>
            <sz val="8"/>
            <rFont val="Tahoma"/>
            <family val="0"/>
          </rPr>
          <t xml:space="preserve">eine geringere Anschlussquote kann auftreten, wenn beispielsweise für einen 
Teil des Gemeindegebietes  (z. B. an Großwohnanlagen o. ä.) keine Bioabfallsammlung vorgesehen ist, oder eine Vielzahl von Bürgern durch Eigenkompostierung die Bioabfallsammlung nicht nutzen. </t>
        </r>
      </text>
    </comment>
    <comment ref="F23" authorId="0">
      <text>
        <r>
          <rPr>
            <b/>
            <sz val="8"/>
            <rFont val="Tahoma"/>
            <family val="0"/>
          </rPr>
          <t>Summe aller Fremdennächtigungen im obigen Untersuchungsjahr</t>
        </r>
      </text>
    </comment>
  </commentList>
</comments>
</file>

<file path=xl/comments5.xml><?xml version="1.0" encoding="utf-8"?>
<comments xmlns="http://schemas.openxmlformats.org/spreadsheetml/2006/main">
  <authors>
    <author>Dipl.-Ing. Matthias Adloff</author>
  </authors>
  <commentList>
    <comment ref="C9" authorId="0">
      <text>
        <r>
          <rPr>
            <b/>
            <sz val="8"/>
            <rFont val="Tahoma"/>
            <family val="0"/>
          </rPr>
          <t>entspricht 52 Leerungen pro Jahr</t>
        </r>
      </text>
    </comment>
    <comment ref="D9" authorId="0">
      <text>
        <r>
          <rPr>
            <b/>
            <sz val="8"/>
            <rFont val="Tahoma"/>
            <family val="0"/>
          </rPr>
          <t>entspricht 26 Leerungen pro Jahr (alle 2 Wochen 1 Entleerung)</t>
        </r>
      </text>
    </comment>
    <comment ref="E9" authorId="0">
      <text>
        <r>
          <rPr>
            <b/>
            <sz val="8"/>
            <rFont val="Tahoma"/>
            <family val="0"/>
          </rPr>
          <t>entspricht 13 Leerungen pro Jahr</t>
        </r>
      </text>
    </comment>
    <comment ref="B15" authorId="0">
      <text>
        <r>
          <rPr>
            <b/>
            <sz val="8"/>
            <rFont val="Tahoma"/>
            <family val="0"/>
          </rPr>
          <t>Gefäßvolumen frei wählbar (z. B. für Säcke, andere Behältergrößen etc.)</t>
        </r>
      </text>
    </comment>
    <comment ref="B16" authorId="0">
      <text>
        <r>
          <rPr>
            <b/>
            <sz val="8"/>
            <rFont val="Tahoma"/>
            <family val="0"/>
          </rPr>
          <t>Gefäßvolumen frei wählbar (z. B. für Säcke, andere Behältergrößen etc.)</t>
        </r>
      </text>
    </comment>
    <comment ref="B17" authorId="0">
      <text>
        <r>
          <rPr>
            <b/>
            <sz val="8"/>
            <rFont val="Tahoma"/>
            <family val="0"/>
          </rPr>
          <t>Gefäßvolumen frei wählbar (z. B. für Säcke, andere Behältergrößen etc.)</t>
        </r>
      </text>
    </comment>
    <comment ref="B27" authorId="0">
      <text>
        <r>
          <rPr>
            <b/>
            <sz val="8"/>
            <rFont val="Tahoma"/>
            <family val="0"/>
          </rPr>
          <t>Gefäßvolumen frei wählbar (z. B. für Säcke, andere Behältergrößen etc.)</t>
        </r>
      </text>
    </comment>
    <comment ref="B28" authorId="0">
      <text>
        <r>
          <rPr>
            <b/>
            <sz val="8"/>
            <rFont val="Tahoma"/>
            <family val="0"/>
          </rPr>
          <t>Gefäßvolumen frei wählbar (z. B. für Säcke, andere Behältergrößen etc.)</t>
        </r>
      </text>
    </comment>
    <comment ref="B29" authorId="0">
      <text>
        <r>
          <rPr>
            <b/>
            <sz val="8"/>
            <rFont val="Tahoma"/>
            <family val="0"/>
          </rPr>
          <t>Gefäßvolumen frei wählbar (z. B. für Säcke, andere Behältergrößen etc.)</t>
        </r>
      </text>
    </comment>
    <comment ref="F9" authorId="0">
      <text>
        <r>
          <rPr>
            <b/>
            <sz val="8"/>
            <rFont val="Tahoma"/>
            <family val="0"/>
          </rPr>
          <t>entspricht ca. 8 - 9 Leerungen pro Jahr (alle 6 Wochen 1 Entleerung)</t>
        </r>
      </text>
    </comment>
    <comment ref="C21" authorId="0">
      <text>
        <r>
          <rPr>
            <b/>
            <sz val="8"/>
            <rFont val="Tahoma"/>
            <family val="0"/>
          </rPr>
          <t>entspricht 52 Leerungen pro Jahr</t>
        </r>
      </text>
    </comment>
    <comment ref="D21" authorId="0">
      <text>
        <r>
          <rPr>
            <b/>
            <sz val="8"/>
            <rFont val="Tahoma"/>
            <family val="0"/>
          </rPr>
          <t>entspricht 26 Leerungen pro Jahr (alle 2 Wochen 1 Entleerung)</t>
        </r>
      </text>
    </comment>
    <comment ref="E21" authorId="0">
      <text>
        <r>
          <rPr>
            <b/>
            <sz val="8"/>
            <rFont val="Tahoma"/>
            <family val="0"/>
          </rPr>
          <t>entspricht 13 Leerungen pro Jahr</t>
        </r>
      </text>
    </comment>
    <comment ref="F21" authorId="0">
      <text>
        <r>
          <rPr>
            <b/>
            <sz val="8"/>
            <rFont val="Tahoma"/>
            <family val="0"/>
          </rPr>
          <t>entspricht ca. 8 - 9 Leerungen pro Jahr (alle 6 Wochen 1 Entleerung)</t>
        </r>
      </text>
    </comment>
    <comment ref="E32" authorId="0">
      <text>
        <r>
          <rPr>
            <b/>
            <sz val="8"/>
            <rFont val="Tahoma"/>
            <family val="0"/>
          </rPr>
          <t>Anzahl der ausgegebenen Säcke pro Jahr angeben</t>
        </r>
        <r>
          <rPr>
            <sz val="8"/>
            <rFont val="Tahoma"/>
            <family val="0"/>
          </rPr>
          <t xml:space="preserve">
</t>
        </r>
      </text>
    </comment>
    <comment ref="B32" authorId="0">
      <text>
        <r>
          <rPr>
            <b/>
            <sz val="8"/>
            <rFont val="Tahoma"/>
            <family val="0"/>
          </rPr>
          <t>Sackvolumen in Liter angeben</t>
        </r>
      </text>
    </comment>
    <comment ref="B33" authorId="0">
      <text>
        <r>
          <rPr>
            <b/>
            <sz val="8"/>
            <rFont val="Tahoma"/>
            <family val="0"/>
          </rPr>
          <t>Sackvolumen in Liter angeben</t>
        </r>
      </text>
    </comment>
    <comment ref="E33" authorId="0">
      <text>
        <r>
          <rPr>
            <b/>
            <sz val="8"/>
            <rFont val="Tahoma"/>
            <family val="0"/>
          </rPr>
          <t>Anzahl der ausgegebenen Säcke pro Jahr angeben</t>
        </r>
        <r>
          <rPr>
            <sz val="8"/>
            <rFont val="Tahoma"/>
            <family val="0"/>
          </rPr>
          <t xml:space="preserve">
</t>
        </r>
      </text>
    </comment>
    <comment ref="L41" authorId="0">
      <text>
        <r>
          <rPr>
            <b/>
            <sz val="8"/>
            <rFont val="Tahoma"/>
            <family val="0"/>
          </rPr>
          <t>Sofern Sie keine Differenzierung für die Sammlungs- und Behandlungskosten vornehmen können, bitte an dieser Stelle den Gesamt(Pauschal)betrag angeben.</t>
        </r>
      </text>
    </comment>
  </commentList>
</comments>
</file>

<file path=xl/comments6.xml><?xml version="1.0" encoding="utf-8"?>
<comments xmlns="http://schemas.openxmlformats.org/spreadsheetml/2006/main">
  <authors>
    <author>Dipl.-Ing. Kathrin Heuer</author>
  </authors>
  <commentList>
    <comment ref="L24" authorId="0">
      <text>
        <r>
          <rPr>
            <b/>
            <sz val="8"/>
            <rFont val="Tahoma"/>
            <family val="0"/>
          </rPr>
          <t>Sofern Sie keine Differenzierung für die Sammlungs- und Behandlungskosten vornehmen können, bitte an dieser Stelle den Gesamt(Pauschal)betrag angeben.</t>
        </r>
      </text>
    </comment>
    <comment ref="L33" authorId="0">
      <text>
        <r>
          <rPr>
            <b/>
            <sz val="8"/>
            <rFont val="Tahoma"/>
            <family val="0"/>
          </rPr>
          <t>Sofern Sie keine Differenzierung für die Sammlungskosten und die Erlöse vornehmen können, bitte an dieser Stelle den Gesamt(Pauschal)betrag angeben.</t>
        </r>
      </text>
    </comment>
    <comment ref="L42" authorId="0">
      <text>
        <r>
          <rPr>
            <b/>
            <sz val="8"/>
            <rFont val="Tahoma"/>
            <family val="0"/>
          </rPr>
          <t>Sofern Sie keine Differenzierung für die Sammlungs- und Entsorgungskosten vornehmen können, bitte an dieser Stelle den Gesamt(Pauschal)betrag angeben.</t>
        </r>
      </text>
    </comment>
  </commentList>
</comments>
</file>

<file path=xl/comments7.xml><?xml version="1.0" encoding="utf-8"?>
<comments xmlns="http://schemas.openxmlformats.org/spreadsheetml/2006/main">
  <authors>
    <author>Dipl.-Ing. Matthias Adloff</author>
    <author>Dipl.-Ing. Kathrin Heuer</author>
  </authors>
  <commentList>
    <comment ref="B15" authorId="0">
      <text>
        <r>
          <rPr>
            <b/>
            <sz val="8"/>
            <rFont val="Tahoma"/>
            <family val="0"/>
          </rPr>
          <t>Gefäßvolumen frei wählbar (z. B. für Säcke, andere Behältergrößen etc.)</t>
        </r>
      </text>
    </comment>
    <comment ref="B16" authorId="0">
      <text>
        <r>
          <rPr>
            <b/>
            <sz val="8"/>
            <rFont val="Tahoma"/>
            <family val="0"/>
          </rPr>
          <t>Gefäßvolumen frei wählbar (z. B. für Säcke, andere Behältergrößen etc.)</t>
        </r>
      </text>
    </comment>
    <comment ref="B17" authorId="0">
      <text>
        <r>
          <rPr>
            <b/>
            <sz val="8"/>
            <rFont val="Tahoma"/>
            <family val="0"/>
          </rPr>
          <t>Gefäßvolumen frei wählbar (z. B. für Säcke, andere Behältergrößen etc.)</t>
        </r>
      </text>
    </comment>
    <comment ref="B27" authorId="0">
      <text>
        <r>
          <rPr>
            <b/>
            <sz val="8"/>
            <rFont val="Tahoma"/>
            <family val="0"/>
          </rPr>
          <t>Gefäßvolumen frei wählbar (z. B. für Säcke, andere Behältergrößen etc.)</t>
        </r>
      </text>
    </comment>
    <comment ref="B28" authorId="0">
      <text>
        <r>
          <rPr>
            <b/>
            <sz val="8"/>
            <rFont val="Tahoma"/>
            <family val="0"/>
          </rPr>
          <t>Gefäßvolumen frei wählbar (z. B. für Säcke, andere Behältergrößen etc.)</t>
        </r>
      </text>
    </comment>
    <comment ref="B29" authorId="0">
      <text>
        <r>
          <rPr>
            <b/>
            <sz val="8"/>
            <rFont val="Tahoma"/>
            <family val="0"/>
          </rPr>
          <t>Gefäßvolumen frei wählbar (z. B. für Säcke, andere Behältergrößen etc.)</t>
        </r>
      </text>
    </comment>
    <comment ref="C9" authorId="0">
      <text>
        <r>
          <rPr>
            <b/>
            <sz val="8"/>
            <rFont val="Tahoma"/>
            <family val="0"/>
          </rPr>
          <t>entspricht 52 Leerungen pro Jahr</t>
        </r>
      </text>
    </comment>
    <comment ref="D9" authorId="0">
      <text>
        <r>
          <rPr>
            <b/>
            <sz val="8"/>
            <rFont val="Tahoma"/>
            <family val="0"/>
          </rPr>
          <t>entspricht 26 Leerungen pro Jahr (alle 2 Wochen 1 Entleerung)</t>
        </r>
      </text>
    </comment>
    <comment ref="E9" authorId="0">
      <text>
        <r>
          <rPr>
            <b/>
            <sz val="8"/>
            <rFont val="Tahoma"/>
            <family val="0"/>
          </rPr>
          <t>entspricht 13 Leerungen pro Jahr</t>
        </r>
      </text>
    </comment>
    <comment ref="C21" authorId="0">
      <text>
        <r>
          <rPr>
            <b/>
            <sz val="8"/>
            <rFont val="Tahoma"/>
            <family val="0"/>
          </rPr>
          <t>entspricht 52 Leerungen pro Jahr</t>
        </r>
      </text>
    </comment>
    <comment ref="D21" authorId="0">
      <text>
        <r>
          <rPr>
            <b/>
            <sz val="8"/>
            <rFont val="Tahoma"/>
            <family val="0"/>
          </rPr>
          <t>entspricht 26 Leerungen pro Jahr (alle 2 Wochen 1 Entleerung)</t>
        </r>
      </text>
    </comment>
    <comment ref="E21" authorId="0">
      <text>
        <r>
          <rPr>
            <b/>
            <sz val="8"/>
            <rFont val="Tahoma"/>
            <family val="0"/>
          </rPr>
          <t>entspricht 13 Leerungen pro Jahr</t>
        </r>
      </text>
    </comment>
    <comment ref="L38" authorId="1">
      <text>
        <r>
          <rPr>
            <b/>
            <sz val="8"/>
            <rFont val="Tahoma"/>
            <family val="0"/>
          </rPr>
          <t>Sofern Sie keine Differenzierung für die Sammlungs- und Behandlungskosten vornehmen können, bitte an dieser Stelle den Gesamt(Pauschal)betrag angeben.</t>
        </r>
      </text>
    </comment>
  </commentList>
</comments>
</file>

<file path=xl/comments8.xml><?xml version="1.0" encoding="utf-8"?>
<comments xmlns="http://schemas.openxmlformats.org/spreadsheetml/2006/main">
  <authors>
    <author>Dipl.-Ing. Matthias Adloff</author>
    <author>Dipl.-Ing. Kathrin Heuer</author>
  </authors>
  <commentList>
    <comment ref="B15" authorId="0">
      <text>
        <r>
          <rPr>
            <b/>
            <sz val="8"/>
            <rFont val="Tahoma"/>
            <family val="0"/>
          </rPr>
          <t>Gefäßvolumen frei wählbar (z. B. für Säcke, andere Behältergrößen etc.)</t>
        </r>
      </text>
    </comment>
    <comment ref="B16" authorId="0">
      <text>
        <r>
          <rPr>
            <b/>
            <sz val="8"/>
            <rFont val="Tahoma"/>
            <family val="0"/>
          </rPr>
          <t>Gefäßvolumen frei wählbar (z. B. für Säcke, andere Behältergrößen etc.)</t>
        </r>
      </text>
    </comment>
    <comment ref="B17" authorId="0">
      <text>
        <r>
          <rPr>
            <b/>
            <sz val="8"/>
            <rFont val="Tahoma"/>
            <family val="0"/>
          </rPr>
          <t>Gefäßvolumen frei wählbar (z. B. für Säcke, andere Behältergrößen etc.)</t>
        </r>
      </text>
    </comment>
    <comment ref="B27" authorId="0">
      <text>
        <r>
          <rPr>
            <b/>
            <sz val="8"/>
            <rFont val="Tahoma"/>
            <family val="0"/>
          </rPr>
          <t>Gefäßvolumen frei wählbar (z. B. für Säcke, andere Behältergrößen etc.)</t>
        </r>
      </text>
    </comment>
    <comment ref="B28" authorId="0">
      <text>
        <r>
          <rPr>
            <b/>
            <sz val="8"/>
            <rFont val="Tahoma"/>
            <family val="0"/>
          </rPr>
          <t>Gefäßvolumen frei wählbar (z. B. für Säcke, andere Behältergrößen etc.)</t>
        </r>
      </text>
    </comment>
    <comment ref="B29" authorId="0">
      <text>
        <r>
          <rPr>
            <b/>
            <sz val="8"/>
            <rFont val="Tahoma"/>
            <family val="0"/>
          </rPr>
          <t>Gefäßvolumen frei wählbar (z. B. für Säcke, andere Behältergrößen etc.)</t>
        </r>
      </text>
    </comment>
    <comment ref="C9" authorId="0">
      <text>
        <r>
          <rPr>
            <b/>
            <sz val="8"/>
            <rFont val="Tahoma"/>
            <family val="0"/>
          </rPr>
          <t>entspricht 52 Leerungen pro Jahr</t>
        </r>
      </text>
    </comment>
    <comment ref="D9" authorId="0">
      <text>
        <r>
          <rPr>
            <b/>
            <sz val="8"/>
            <rFont val="Tahoma"/>
            <family val="0"/>
          </rPr>
          <t>entspricht 26 Leerungen pro Jahr (alle 2 Wochen 1 Entleerung)</t>
        </r>
      </text>
    </comment>
    <comment ref="E9" authorId="0">
      <text>
        <r>
          <rPr>
            <b/>
            <sz val="8"/>
            <rFont val="Tahoma"/>
            <family val="0"/>
          </rPr>
          <t>entspricht 13 Leerungen pro Jahr</t>
        </r>
      </text>
    </comment>
    <comment ref="F9" authorId="0">
      <text>
        <r>
          <rPr>
            <b/>
            <sz val="8"/>
            <rFont val="Tahoma"/>
            <family val="0"/>
          </rPr>
          <t>entspricht ca. 8 - 9 Leerungen pro Jahr (alle 6 Wochen 1 Entleerung)</t>
        </r>
      </text>
    </comment>
    <comment ref="C21" authorId="0">
      <text>
        <r>
          <rPr>
            <b/>
            <sz val="8"/>
            <rFont val="Tahoma"/>
            <family val="0"/>
          </rPr>
          <t>entspricht 52 Leerungen pro Jahr</t>
        </r>
      </text>
    </comment>
    <comment ref="D21" authorId="0">
      <text>
        <r>
          <rPr>
            <b/>
            <sz val="8"/>
            <rFont val="Tahoma"/>
            <family val="0"/>
          </rPr>
          <t>entspricht 26 Leerungen pro Jahr (alle 2 Wochen 1 Entleerung)</t>
        </r>
      </text>
    </comment>
    <comment ref="E21" authorId="0">
      <text>
        <r>
          <rPr>
            <b/>
            <sz val="8"/>
            <rFont val="Tahoma"/>
            <family val="0"/>
          </rPr>
          <t>entspricht 13 Leerungen pro Jahr</t>
        </r>
      </text>
    </comment>
    <comment ref="F21" authorId="0">
      <text>
        <r>
          <rPr>
            <b/>
            <sz val="8"/>
            <rFont val="Tahoma"/>
            <family val="0"/>
          </rPr>
          <t>entspricht ca. 8 - 9 Leerungen pro Jahr (alle 6 Wochen 1 Entleerung)</t>
        </r>
      </text>
    </comment>
    <comment ref="L38" authorId="1">
      <text>
        <r>
          <rPr>
            <b/>
            <sz val="8"/>
            <rFont val="Tahoma"/>
            <family val="0"/>
          </rPr>
          <t>Sofern Sie keine Differenzierung für die Sammlungs- und Behandlungskosten vornehmen können, bitte an dieser Stelle den Gesamt(Pauschal)betrag angeben.</t>
        </r>
      </text>
    </comment>
  </commentList>
</comments>
</file>

<file path=xl/comments9.xml><?xml version="1.0" encoding="utf-8"?>
<comments xmlns="http://schemas.openxmlformats.org/spreadsheetml/2006/main">
  <authors>
    <author>Dipl.-Ing. Matthias Adloff</author>
  </authors>
  <commentList>
    <comment ref="G15" authorId="0">
      <text>
        <r>
          <rPr>
            <b/>
            <sz val="8"/>
            <rFont val="Tahoma"/>
            <family val="0"/>
          </rPr>
          <t>Summe aller Fremdennächtigungen im obigen Untersuchungsjahr</t>
        </r>
      </text>
    </comment>
    <comment ref="G25" authorId="0">
      <text>
        <r>
          <rPr>
            <b/>
            <sz val="8"/>
            <rFont val="Tahoma"/>
            <family val="0"/>
          </rPr>
          <t>Verpackungen sind:
Weiß- und Buntglas, Kunststoffflaschen, -hohlkörper und Folien, EPS-Styropor, Metallverpackungen, Kartonagen, Getränke-Verbundkartons, Holz- und Keramikverpackungen</t>
        </r>
      </text>
    </comment>
    <comment ref="G27" authorId="0">
      <text>
        <r>
          <rPr>
            <b/>
            <sz val="8"/>
            <rFont val="Tahoma"/>
            <family val="0"/>
          </rPr>
          <t>Biogene Abfälle sind:
Bioabfälle wie Rasenschnitt, Laub, Blumen, Baum-, Strauch- und Heckenschnitt</t>
        </r>
      </text>
    </comment>
    <comment ref="G28" authorId="0">
      <text>
        <r>
          <rPr>
            <b/>
            <sz val="8"/>
            <rFont val="Tahoma"/>
            <family val="0"/>
          </rPr>
          <t xml:space="preserve">Altstoffe sind:
Flachglas, Kunststoff-NVP-Folien (Silofolien), Baustyropor, PVC-Bodenbeläge, Filmmaterial, CD`s, Alteisen, Kabelschrott, Nichteisen-Metalle, Altpapier gemischt, Speisefett u. Speiseöle, Altreifen, Textilien, Schuhe, Korkwaren
</t>
        </r>
      </text>
    </comment>
    <comment ref="G30" authorId="0">
      <text>
        <r>
          <rPr>
            <b/>
            <sz val="8"/>
            <rFont val="Tahoma"/>
            <family val="0"/>
          </rPr>
          <t>Summe aller Metalle</t>
        </r>
      </text>
    </comment>
    <comment ref="G33" authorId="0">
      <text>
        <r>
          <rPr>
            <b/>
            <sz val="8"/>
            <rFont val="Tahoma"/>
            <family val="0"/>
          </rPr>
          <t xml:space="preserve">Problemstoffe sind:
Altöl, Öl- und Luftfilter, Werkstättenabfälle, gebrauchte Ölgebinde, Lösungsmittel, Säure- und Laugengemische, Schädlingsbekämpfungs- und Pflanzenschutzmittel, Labor u. Chemikalienreste, Fotochemikalien, Spraydosen mit Restinhalt, Altlacke u. -farben, Altmedikamente, KFZ-Starterbatterien, Konsumbatterien, Autowracks, </t>
        </r>
      </text>
    </comment>
    <comment ref="G32" authorId="0">
      <text>
        <r>
          <rPr>
            <b/>
            <sz val="8"/>
            <rFont val="Tahoma"/>
            <family val="0"/>
          </rPr>
          <t>Gruppe 1:
Haushaltsgroßgeräte</t>
        </r>
        <r>
          <rPr>
            <sz val="8"/>
            <rFont val="Tahoma"/>
            <family val="2"/>
          </rPr>
          <t xml:space="preserve"> (Waschmaschinen, Backofen, Geschirrspüler etc.)</t>
        </r>
        <r>
          <rPr>
            <b/>
            <sz val="8"/>
            <rFont val="Tahoma"/>
            <family val="0"/>
          </rPr>
          <t xml:space="preserve">
Gruppe 2
Kühl-, Klimageräte und Ölradiatoren </t>
        </r>
        <r>
          <rPr>
            <sz val="8"/>
            <rFont val="Tahoma"/>
            <family val="2"/>
          </rPr>
          <t>(Kühlschrank, Gefriertruhe, Ölradiator etc.)</t>
        </r>
        <r>
          <rPr>
            <b/>
            <sz val="8"/>
            <rFont val="Tahoma"/>
            <family val="0"/>
          </rPr>
          <t xml:space="preserve">
Gruppe 3
Informations- und Telekommunikationsgeräte, Unterhaltungselektronik, Bildschirmgeräte wie z. B. 
</t>
        </r>
        <r>
          <rPr>
            <sz val="8"/>
            <rFont val="Tahoma"/>
            <family val="2"/>
          </rPr>
          <t>PC, Drucker, Beamer, Stereoanlage, Bildschirme, Monitore etc.</t>
        </r>
        <r>
          <rPr>
            <b/>
            <sz val="8"/>
            <rFont val="Tahoma"/>
            <family val="0"/>
          </rPr>
          <t xml:space="preserve">
Gruppe 4
Gasentladungslampen, Leuchtstoffröhren </t>
        </r>
        <r>
          <rPr>
            <sz val="8"/>
            <rFont val="Tahoma"/>
            <family val="2"/>
          </rPr>
          <t>(u. a. Energiesparlampen, Neonröhren etc.)</t>
        </r>
        <r>
          <rPr>
            <b/>
            <sz val="8"/>
            <rFont val="Tahoma"/>
            <family val="0"/>
          </rPr>
          <t xml:space="preserve">
Gruppe 5
Haushaltskleingeräte </t>
        </r>
        <r>
          <rPr>
            <sz val="8"/>
            <rFont val="Tahoma"/>
            <family val="2"/>
          </rPr>
          <t>(Kaffeemaschine, Bügeleisen)</t>
        </r>
        <r>
          <rPr>
            <b/>
            <sz val="8"/>
            <rFont val="Tahoma"/>
            <family val="0"/>
          </rPr>
          <t>, 
Werkzeuge</t>
        </r>
        <r>
          <rPr>
            <sz val="8"/>
            <rFont val="Tahoma"/>
            <family val="2"/>
          </rPr>
          <t xml:space="preserve"> (Bohrmaschine, Heckenschere),</t>
        </r>
        <r>
          <rPr>
            <b/>
            <sz val="8"/>
            <rFont val="Tahoma"/>
            <family val="0"/>
          </rPr>
          <t xml:space="preserve">
Sport- und Freizeitgeräte </t>
        </r>
        <r>
          <rPr>
            <sz val="8"/>
            <rFont val="Tahoma"/>
            <family val="2"/>
          </rPr>
          <t>(Carrerabahn, Eisenbahn, Laufband, Heimtrainer etc.)</t>
        </r>
        <r>
          <rPr>
            <b/>
            <sz val="8"/>
            <rFont val="Tahoma"/>
            <family val="0"/>
          </rPr>
          <t xml:space="preserve">  
Überwachungs- und Kontrollinstrumente </t>
        </r>
        <r>
          <rPr>
            <sz val="8"/>
            <rFont val="Tahoma"/>
            <family val="2"/>
          </rPr>
          <t>(Arlarmanlage, Feinwaagen, Rauchmelder etc.)</t>
        </r>
        <r>
          <rPr>
            <b/>
            <sz val="8"/>
            <rFont val="Tahoma"/>
            <family val="0"/>
          </rPr>
          <t xml:space="preserve">
Sonstige: Nachtspeicheröfen</t>
        </r>
      </text>
    </comment>
    <comment ref="G34" authorId="0">
      <text>
        <r>
          <rPr>
            <b/>
            <sz val="8"/>
            <rFont val="Tahoma"/>
            <family val="0"/>
          </rPr>
          <t>Sonstige Abfälle sind:
Sperrmüll, ungefährliche medizinische Abfälle, Injektionsnadeln, mineralischer Bauschutt, Baurestmassen, Altholz</t>
        </r>
      </text>
    </comment>
    <comment ref="G37" authorId="0">
      <text>
        <r>
          <rPr>
            <b/>
            <sz val="8"/>
            <rFont val="Tahoma"/>
            <family val="0"/>
          </rPr>
          <t>mineralischer Bauschutt</t>
        </r>
      </text>
    </comment>
    <comment ref="L27" authorId="0">
      <text>
        <r>
          <rPr>
            <b/>
            <sz val="8"/>
            <rFont val="Tahoma"/>
            <family val="0"/>
          </rPr>
          <t>Biogene Abfälle sind:
Bioabfälle wie Rasenschnitt, Laub, Blumen, Baum-, Strauch- und Heckenschnitt</t>
        </r>
      </text>
    </comment>
    <comment ref="L22" authorId="0">
      <text>
        <r>
          <rPr>
            <b/>
            <sz val="8"/>
            <rFont val="Tahoma"/>
            <family val="0"/>
          </rPr>
          <t>Anzahl Anlieferungen pro Jahr an spearate Sammelplätze</t>
        </r>
      </text>
    </comment>
    <comment ref="L20" authorId="0">
      <text>
        <r>
          <rPr>
            <b/>
            <sz val="8"/>
            <rFont val="Tahoma"/>
            <family val="0"/>
          </rPr>
          <t>Summe der Personaleinsatzstunden pro Jahr  für Betreuung  an separaten Sammelplätzen</t>
        </r>
      </text>
    </comment>
    <comment ref="L18" authorId="0">
      <text>
        <r>
          <rPr>
            <b/>
            <sz val="8"/>
            <rFont val="Tahoma"/>
            <family val="0"/>
          </rPr>
          <t>Öffnungsstunden pro Jahr der separaten Sammelplätze</t>
        </r>
      </text>
    </comment>
  </commentList>
</comments>
</file>

<file path=xl/sharedStrings.xml><?xml version="1.0" encoding="utf-8"?>
<sst xmlns="http://schemas.openxmlformats.org/spreadsheetml/2006/main" count="1008" uniqueCount="577">
  <si>
    <t>Erlöse (Infrastrukturentgelt)</t>
  </si>
  <si>
    <t>3.4.1</t>
  </si>
  <si>
    <t>3.4.2</t>
  </si>
  <si>
    <t>3.4.3</t>
  </si>
  <si>
    <t>3.4.4</t>
  </si>
  <si>
    <r>
      <t xml:space="preserve">Gesamtkosten </t>
    </r>
    <r>
      <rPr>
        <i/>
        <sz val="10"/>
        <color indexed="12"/>
        <rFont val="Arial"/>
        <family val="2"/>
      </rPr>
      <t>(errechnet aus Angabe 3.4.2 abzüglich 3.4.3)</t>
    </r>
  </si>
  <si>
    <r>
      <t xml:space="preserve">Sperrmüll (sperriger Siedlungsabfall) </t>
    </r>
    <r>
      <rPr>
        <b/>
        <u val="single"/>
        <sz val="12"/>
        <rFont val="Arial"/>
        <family val="2"/>
      </rPr>
      <t>und</t>
    </r>
    <r>
      <rPr>
        <b/>
        <sz val="12"/>
        <rFont val="Arial"/>
        <family val="2"/>
      </rPr>
      <t xml:space="preserve"> sonstige Fraktionen (</t>
    </r>
    <r>
      <rPr>
        <b/>
        <sz val="12"/>
        <color indexed="12"/>
        <rFont val="Arial"/>
        <family val="2"/>
      </rPr>
      <t>mobile Sammlung außerhalb des ASZ</t>
    </r>
    <r>
      <rPr>
        <b/>
        <sz val="12"/>
        <rFont val="Arial"/>
        <family val="2"/>
      </rPr>
      <t>)</t>
    </r>
  </si>
  <si>
    <r>
      <t xml:space="preserve">Mengen </t>
    </r>
    <r>
      <rPr>
        <b/>
        <u val="single"/>
        <sz val="12"/>
        <rFont val="Arial"/>
        <family val="2"/>
      </rPr>
      <t>und</t>
    </r>
    <r>
      <rPr>
        <b/>
        <sz val="12"/>
        <rFont val="Arial"/>
        <family val="2"/>
      </rPr>
      <t xml:space="preserve"> Kosten/Erlöse einer mobilen Sammlung von Elektroaltgeräten (Gr. 1, 2, 3, 4 und 5)</t>
    </r>
  </si>
  <si>
    <t>3.5</t>
  </si>
  <si>
    <t>3.5.1</t>
  </si>
  <si>
    <t>3.5.2</t>
  </si>
  <si>
    <t>3.5.3</t>
  </si>
  <si>
    <t>3.5.4</t>
  </si>
  <si>
    <r>
      <t xml:space="preserve">Mengen </t>
    </r>
    <r>
      <rPr>
        <b/>
        <u val="single"/>
        <sz val="12"/>
        <rFont val="Arial"/>
        <family val="2"/>
      </rPr>
      <t>und</t>
    </r>
    <r>
      <rPr>
        <b/>
        <sz val="12"/>
        <rFont val="Arial"/>
        <family val="2"/>
      </rPr>
      <t xml:space="preserve"> Kosten einer mobilen Problemstoffsammlung</t>
    </r>
  </si>
  <si>
    <t>(Angaben zur Erfassung von Elektroaltgeräten über ein ASZ sind parallel in Kap. 6 anzugeben)</t>
  </si>
  <si>
    <t>(Angaben zur Erfassung von Problemstoffen über ein ASZ sind parallel in Kap. 6 anzugeben)</t>
  </si>
  <si>
    <t>Menge Elektroaltgeräte</t>
  </si>
  <si>
    <t>Sperrmüllmenge</t>
  </si>
  <si>
    <t>Entsorgungskosten</t>
  </si>
  <si>
    <r>
      <t xml:space="preserve">Gesamtkosten </t>
    </r>
    <r>
      <rPr>
        <i/>
        <sz val="10"/>
        <color indexed="12"/>
        <rFont val="Arial"/>
        <family val="2"/>
      </rPr>
      <t>(errechnet aus Angabe 3.5.2 und 3.5.3)</t>
    </r>
  </si>
  <si>
    <t>Die Sammelkosten beinhalten die reinen Logistikkosten (Erfassung/Sammlung/Transport); hierunter sind folgende Kosten-</t>
  </si>
  <si>
    <r>
      <t>Sammelkosten:</t>
    </r>
    <r>
      <rPr>
        <sz val="10"/>
        <rFont val="Arial"/>
        <family val="2"/>
      </rPr>
      <t xml:space="preserve"> Kosten für der Sammlung der unter 3.4.1 angegebenen Elektroaltgerätemengen (mobile Sammlung; ohne ASZ)</t>
    </r>
  </si>
  <si>
    <r>
      <t>Erlöse (Infrastrukturentgelt)</t>
    </r>
    <r>
      <rPr>
        <sz val="10"/>
        <rFont val="Arial"/>
        <family val="2"/>
      </rPr>
      <t xml:space="preserve"> für die mobil erfassten Elektroaltgeräte</t>
    </r>
  </si>
  <si>
    <r>
      <t xml:space="preserve">Gesamtkosten: </t>
    </r>
    <r>
      <rPr>
        <sz val="10"/>
        <rFont val="Arial"/>
        <family val="2"/>
      </rPr>
      <t>sofern Sie Sammelkosten und Erlöse in den vorangestellten Abfragen separat ausweisen können, wird dieser Wert auto-</t>
    </r>
  </si>
  <si>
    <r>
      <t>Menge Elektroaltgeräte</t>
    </r>
    <r>
      <rPr>
        <sz val="10"/>
        <rFont val="Arial"/>
        <family val="2"/>
      </rPr>
      <t xml:space="preserve"> aus einer mobilen Sammlung; ohne ASZ-Mengen: siehe Definitionen der Fraktionen unter ASZ (Kap. 6.6)</t>
    </r>
  </si>
  <si>
    <r>
      <t>Menge Problemstoffe</t>
    </r>
    <r>
      <rPr>
        <sz val="10"/>
        <rFont val="Arial"/>
        <family val="2"/>
      </rPr>
      <t xml:space="preserve"> aus einer mobilen Sammlung; ohne ASZ-Mengen: siehe Definitionen der Fraktion unter ASZ (Kap. 6.6)</t>
    </r>
  </si>
  <si>
    <r>
      <t>Sammelkosten:</t>
    </r>
    <r>
      <rPr>
        <sz val="10"/>
        <rFont val="Arial"/>
        <family val="2"/>
      </rPr>
      <t xml:space="preserve"> Kosten für der Sammlung der unter 3.5.1 angegebenen Elektroaltgerätemengen (mobile Sammlung; ohne ASZ)</t>
    </r>
  </si>
  <si>
    <t xml:space="preserve">anteile zu verstehen: Personalkosten (inkl. Lohnnebenkosten) für das Sammelpersonal, Fahrzeugkosten für die Sammelfahrzeuge (Instandhaltung-, </t>
  </si>
  <si>
    <t>3.1 - 3.3</t>
  </si>
  <si>
    <t xml:space="preserve">Sperrmüll (sperriger Siedlungsabfall) </t>
  </si>
  <si>
    <t>und sonstige Fraktionen (mit mobiler Erfassung)</t>
  </si>
  <si>
    <r>
      <t>Entsorgungskosten:</t>
    </r>
    <r>
      <rPr>
        <sz val="10"/>
        <rFont val="Arial"/>
        <family val="0"/>
      </rPr>
      <t xml:space="preserve"> Kosten für die Entsorgung der unter 3.5.1 angegebenen Problemstoffe</t>
    </r>
  </si>
  <si>
    <r>
      <t xml:space="preserve">Gesamtkosten: </t>
    </r>
    <r>
      <rPr>
        <sz val="10"/>
        <rFont val="Arial"/>
        <family val="2"/>
      </rPr>
      <t>sofern Sie Sammelkosten und Entsorgungskosten in den vorangestellten Abfragen separat ausweisen können, wird dieser Wert auto-</t>
    </r>
  </si>
  <si>
    <r>
      <t>Kontrolle der Abfallplätze, Ausbildungs- und Weiterbildungskosten der Gemeindebediensteten (</t>
    </r>
    <r>
      <rPr>
        <b/>
        <sz val="10"/>
        <rFont val="Arial"/>
        <family val="2"/>
      </rPr>
      <t>bitte beachten</t>
    </r>
    <r>
      <rPr>
        <sz val="10"/>
        <rFont val="Arial"/>
        <family val="2"/>
      </rPr>
      <t xml:space="preserve">: sofern diese Kostenanteile </t>
    </r>
  </si>
  <si>
    <t xml:space="preserve">bereits für Ma. des ASZ im Kap. 6.7 berücksichtigt wurden, sind diese hier abzugrenzen), Kilometergeld/Fahrtkosten, Diäten für </t>
  </si>
  <si>
    <r>
      <t>Kosten für die Nachsorge geschlossener Deponien:</t>
    </r>
    <r>
      <rPr>
        <sz val="10"/>
        <rFont val="Arial"/>
        <family val="0"/>
      </rPr>
      <t xml:space="preserve"> Hierunter sind alle Kosten zu verstehen, die im Rahmen von Nachsorgemaßnahmen für ehemals</t>
    </r>
  </si>
  <si>
    <t>eigens betriebene und nun geschlossene Deponien anfallen.</t>
  </si>
  <si>
    <t xml:space="preserve">Steirischer Abfallspiegel - </t>
  </si>
  <si>
    <t>Abfallwirtschaftlicher Strukturvergleich</t>
  </si>
  <si>
    <t>steirischer Gemeinden</t>
  </si>
  <si>
    <t>initiiert durch die Stmk. Landesregierung - Fachabteilung 19D Abfall- und Stoffflusswirtschaft</t>
  </si>
  <si>
    <t>für das Jahr 2008</t>
  </si>
  <si>
    <t>Datenerhebungsbogen</t>
  </si>
  <si>
    <t>Mitarbeiter, Kilometergeld/Fahrtkosten, Diäten für die Umwelt- und Abfallberater, Sachkosten für Informationsmaterialien, weitere Kosten etc.</t>
  </si>
  <si>
    <r>
      <t>davon Kosten für sonstige Projekte zur nachhaltigen Abfallwirtschaft:</t>
    </r>
    <r>
      <rPr>
        <sz val="10"/>
        <rFont val="Arial"/>
        <family val="0"/>
      </rPr>
      <t xml:space="preserve"> anfallende Personalkosten für diverse Projekte zur nachhaltigen </t>
    </r>
  </si>
  <si>
    <t>Abfrage werden die Gesamtkosten und Erlöse/Einnahmen der bereits abgefragten Fraktionen über eine Verknüpfung in die Tabelle übermittelt.</t>
  </si>
  <si>
    <t>der Reinigung von Behälterstandplätzen (haushaltsnahe, dezentrale Sammelstellen) anfallen.</t>
  </si>
  <si>
    <r>
      <t xml:space="preserve">Die </t>
    </r>
    <r>
      <rPr>
        <b/>
        <sz val="10"/>
        <rFont val="Arial"/>
        <family val="2"/>
      </rPr>
      <t>Kosten der Verwaltung</t>
    </r>
    <r>
      <rPr>
        <sz val="10"/>
        <rFont val="Arial"/>
        <family val="0"/>
      </rPr>
      <t xml:space="preserve"> setzen sich wie folgt zusammen:</t>
    </r>
  </si>
  <si>
    <r>
      <t xml:space="preserve">Erlöse/Einnahmen Straßenkehricht: </t>
    </r>
    <r>
      <rPr>
        <sz val="10"/>
        <rFont val="Arial"/>
        <family val="2"/>
      </rPr>
      <t>evtl. Erlöse/Einnahmen für die Erfassung von Straßenkehricht</t>
    </r>
  </si>
  <si>
    <r>
      <t xml:space="preserve">Erlöse/Einnahmen Verwaltung: </t>
    </r>
    <r>
      <rPr>
        <sz val="10"/>
        <rFont val="Arial"/>
        <family val="2"/>
      </rPr>
      <t>evtl. Einnahmen aus Förderungen vom Land, des AWV, für sonstige Vermeidungsprojekte, Preisgelder etc.</t>
    </r>
  </si>
  <si>
    <r>
      <t>Gebühreneinnahmen:</t>
    </r>
    <r>
      <rPr>
        <sz val="10"/>
        <rFont val="Arial"/>
        <family val="2"/>
      </rPr>
      <t xml:space="preserve"> Bitte geben Sie hier die gesamten Gebühreneinnahmen der Gemeinde für das Untersuchungsjahr so differenziert wie möglich an. </t>
    </r>
  </si>
  <si>
    <t xml:space="preserve">Differenzieren Sie hierbei auch nach Grundgebühr und variabler Gebühr. </t>
  </si>
  <si>
    <r>
      <t xml:space="preserve">Zuständige Abfuhrunternehmen - Wählen Sie bitte das jeweils zuständige Abfuhrunternehmen aus </t>
    </r>
    <r>
      <rPr>
        <i/>
        <sz val="10"/>
        <color indexed="12"/>
        <rFont val="Arial"/>
        <family val="2"/>
      </rPr>
      <t>(siehe Auswahlliste am Eingabefeld)</t>
    </r>
    <r>
      <rPr>
        <b/>
        <sz val="10"/>
        <rFont val="Arial"/>
        <family val="2"/>
      </rPr>
      <t>:</t>
    </r>
  </si>
  <si>
    <t xml:space="preserve">     Dateneingabe:</t>
  </si>
  <si>
    <t>Aufbau des Erhebungsbogens:</t>
  </si>
  <si>
    <t xml:space="preserve"> </t>
  </si>
  <si>
    <t xml:space="preserve"> - durch eine Vorformatierung ist ein Ausdrucken des Erhebungsbogens möglich</t>
  </si>
  <si>
    <t xml:space="preserve">Dateneingabe - grauer Bereich:  </t>
  </si>
  <si>
    <t xml:space="preserve"> - Ankreuzfelder sind bitte ausschließlich mit dem Buchstaben "x" anzukreuzen</t>
  </si>
  <si>
    <t xml:space="preserve"> - einige Dateneingabefelder sind mit einem zusätzlichen Kommentarfeld versehen; dieses wird durch Bewegung des Cursors auf das gewünschte Zellenfeld </t>
  </si>
  <si>
    <t xml:space="preserve">        </t>
  </si>
  <si>
    <t xml:space="preserve">   (und kurzem Stillstandauf der Zelle) aktiviert; die Kommentare sind durch die rote Markierung am rechten, oberen Zellenbereich zu erkennen </t>
  </si>
  <si>
    <t xml:space="preserve">   mit Rahmen werden die gemeindespezifischen Kennzahlen errechnet. Bei einer Vielzahl von Kennzahlen hinterliegen Plausibilitätsprüfungen, die nach </t>
  </si>
  <si>
    <r>
      <t xml:space="preserve">   Gegenüberstellung mit Referenzwerten ggf. einen Prüfhinweis (</t>
    </r>
    <r>
      <rPr>
        <i/>
        <sz val="10"/>
        <color indexed="10"/>
        <rFont val="Arial"/>
        <family val="2"/>
      </rPr>
      <t>rote kursive Schrift</t>
    </r>
    <r>
      <rPr>
        <sz val="10"/>
        <color indexed="8"/>
        <rFont val="Arial"/>
        <family val="2"/>
      </rPr>
      <t>) geben.</t>
    </r>
  </si>
  <si>
    <t xml:space="preserve"> - Ausgangspunkt ist das Inhaltsverzeichnis; von hier aus kann man mit sog. LINKS zu den jeweiligen Bearbeitungspunkten navigieren </t>
  </si>
  <si>
    <t xml:space="preserve"> - in den jeweiligen Bearbeitungspunkten ist ein LINK zum Inhaltsverzeichnis enthalten</t>
  </si>
  <si>
    <t xml:space="preserve"> - sofern eine genaue Definition der Abfragewerte erforderlich wird, ist ein LINK zur zentralen Definitions-Seite vorgesehen  </t>
  </si>
  <si>
    <t>Weitere allgemeine Hinweise:</t>
  </si>
  <si>
    <t>Falls Sie Fragen zur Handhabung des Erhebungsbogens haben, wenden Sie sich bitte an das beauftrage Beratungsunternehmen:</t>
  </si>
  <si>
    <t>INFA GmbH/Deutschland, Herr Dipl.-Ing. Matthias Adloff; Tel. +49 (0) 23 82 / 9 64 - 5 27, E-Mail: adloff@infa.de</t>
  </si>
  <si>
    <t xml:space="preserve"> - ausschließlich die weißen Felder sind für die Dateneingabe im Fragebogen freigeschaltet</t>
  </si>
  <si>
    <t>Gefäß-
volumen in l</t>
  </si>
  <si>
    <t>Sammelsystem</t>
  </si>
  <si>
    <t>Haushaltsnahe Sammelstelle</t>
  </si>
  <si>
    <t>Gewerbebetrieb</t>
  </si>
  <si>
    <t>x Leer./a</t>
  </si>
  <si>
    <t>€/a</t>
  </si>
  <si>
    <t>Bezugsjahr:</t>
  </si>
  <si>
    <t>Bezugsjahr</t>
  </si>
  <si>
    <t>Gemeinde:</t>
  </si>
  <si>
    <t>1. Allgemeine Angaben</t>
  </si>
  <si>
    <t>1.1</t>
  </si>
  <si>
    <t>1.2</t>
  </si>
  <si>
    <t>Untersuchungsjahr:</t>
  </si>
  <si>
    <t>1.3</t>
  </si>
  <si>
    <t>Bioabfall (biogene Siedlungsabfälle)</t>
  </si>
  <si>
    <t>Altpapier (Verpackungen aus Papier und Pappe)</t>
  </si>
  <si>
    <t>Einwohner mit Nebenwohnsitz</t>
  </si>
  <si>
    <t>E</t>
  </si>
  <si>
    <t>d/a</t>
  </si>
  <si>
    <t>1.4</t>
  </si>
  <si>
    <t>km²</t>
  </si>
  <si>
    <t>Fläche des Gemeindegebietes in Quadratkilometer</t>
  </si>
  <si>
    <t>Einwohner mit Hauptwohnsitz</t>
  </si>
  <si>
    <t>Anzahl Einwohner, die die Bioabfallsammlung nutzen</t>
  </si>
  <si>
    <t>Einwohner, denen die Siedlungsabfallerfassung (Restabfall etc.) zur Verfügung steht</t>
  </si>
  <si>
    <t>Anschlussquote Bioabfall</t>
  </si>
  <si>
    <t>%</t>
  </si>
  <si>
    <t>Einwohnerdichte</t>
  </si>
  <si>
    <t>2.</t>
  </si>
  <si>
    <t>2.1</t>
  </si>
  <si>
    <t>2.1.1</t>
  </si>
  <si>
    <t>2.1.2</t>
  </si>
  <si>
    <t>2.2</t>
  </si>
  <si>
    <t>2.3</t>
  </si>
  <si>
    <t>2.3.1</t>
  </si>
  <si>
    <t>2.3.2</t>
  </si>
  <si>
    <t>2.3.3</t>
  </si>
  <si>
    <t>Einwohnerspezifische Menge</t>
  </si>
  <si>
    <r>
      <t xml:space="preserve">Sammelsystem 
</t>
    </r>
    <r>
      <rPr>
        <i/>
        <sz val="10"/>
        <color indexed="12"/>
        <rFont val="Arial"/>
        <family val="2"/>
      </rPr>
      <t>(bitte jeweils auswählen)</t>
    </r>
  </si>
  <si>
    <t>Bereitgestelltes Behältervolumen</t>
  </si>
  <si>
    <t>Kosten Behandlung pro Menge</t>
  </si>
  <si>
    <t>€/Be-Leer.</t>
  </si>
  <si>
    <t>Gesamtkosten pro Menge</t>
  </si>
  <si>
    <t>Gesamtkosten pro Einwohner und Jahr</t>
  </si>
  <si>
    <t>Berechnung Behälterzahlen</t>
  </si>
  <si>
    <t>Leerungen/a</t>
  </si>
  <si>
    <t>Liter/a</t>
  </si>
  <si>
    <t>Be/a</t>
  </si>
  <si>
    <t>Be-Faktor</t>
  </si>
  <si>
    <t>ZWS VS</t>
  </si>
  <si>
    <t>ZWS TS</t>
  </si>
  <si>
    <t>Gesamt</t>
  </si>
  <si>
    <t>1.</t>
  </si>
  <si>
    <t>Allgemeines</t>
  </si>
  <si>
    <t>Bioabfall</t>
  </si>
  <si>
    <t>Altpapier</t>
  </si>
  <si>
    <t>Altstoffsammelzentren</t>
  </si>
  <si>
    <t>3.</t>
  </si>
  <si>
    <t>4.</t>
  </si>
  <si>
    <t>5.</t>
  </si>
  <si>
    <t>6.</t>
  </si>
  <si>
    <t>A</t>
  </si>
  <si>
    <t>Erläuterungen</t>
  </si>
  <si>
    <t>B</t>
  </si>
  <si>
    <t>Definitionen</t>
  </si>
  <si>
    <t>Inhaltsverzeichnis</t>
  </si>
  <si>
    <t>4.1</t>
  </si>
  <si>
    <t>4.1.1</t>
  </si>
  <si>
    <t>4.1.2</t>
  </si>
  <si>
    <t>4.2</t>
  </si>
  <si>
    <t>4.3</t>
  </si>
  <si>
    <t>4.3.1</t>
  </si>
  <si>
    <t>4.3.2</t>
  </si>
  <si>
    <t>4.3.3</t>
  </si>
  <si>
    <t>5.1</t>
  </si>
  <si>
    <t>5.1.1</t>
  </si>
  <si>
    <t>5.1.2</t>
  </si>
  <si>
    <t>5.2</t>
  </si>
  <si>
    <t>5.3</t>
  </si>
  <si>
    <t>5.3.1</t>
  </si>
  <si>
    <t>5.3.2</t>
  </si>
  <si>
    <t>5.3.3</t>
  </si>
  <si>
    <t>5.3.4</t>
  </si>
  <si>
    <t>%; geschätzer Anteil Anwesenheitsdauer im Jahr</t>
  </si>
  <si>
    <t>3.1</t>
  </si>
  <si>
    <t>3.2</t>
  </si>
  <si>
    <t>Adr./a</t>
  </si>
  <si>
    <t>3.1.1</t>
  </si>
  <si>
    <t>3.1.2</t>
  </si>
  <si>
    <t>3.1.3</t>
  </si>
  <si>
    <t>3.1.4</t>
  </si>
  <si>
    <t>Anz./a</t>
  </si>
  <si>
    <r>
      <t xml:space="preserve">andere Sammelsysteme </t>
    </r>
    <r>
      <rPr>
        <i/>
        <sz val="10"/>
        <color indexed="12"/>
        <rFont val="Arial"/>
        <family val="2"/>
      </rPr>
      <t>(bitte beschreiben)</t>
    </r>
  </si>
  <si>
    <t>Anz./(Platz*a)</t>
  </si>
  <si>
    <t>3.3</t>
  </si>
  <si>
    <t>3.2.1</t>
  </si>
  <si>
    <t>3.2.2</t>
  </si>
  <si>
    <t>3.1.5</t>
  </si>
  <si>
    <t>1.1.1</t>
  </si>
  <si>
    <t>Telefonnummer Ansprechpartner</t>
  </si>
  <si>
    <t>E-Mail-Adresse Ansprechpartner</t>
  </si>
  <si>
    <t>1.1.2</t>
  </si>
  <si>
    <t>1.1.3</t>
  </si>
  <si>
    <r>
      <t xml:space="preserve">Einwohnerzahl und Fremdenverkehrs-Nächtigungen </t>
    </r>
    <r>
      <rPr>
        <i/>
        <sz val="10"/>
        <color indexed="12"/>
        <rFont val="Arial"/>
        <family val="2"/>
      </rPr>
      <t xml:space="preserve">(bezogen auf das obige Untersuchungsjahr) </t>
    </r>
  </si>
  <si>
    <t>Fremdenverkehrs-Nächtigungen pro Jahr</t>
  </si>
  <si>
    <t>Sperrmüll (sperrige Siedlungsabfälle)</t>
  </si>
  <si>
    <t>Sperrmüll</t>
  </si>
  <si>
    <t>Komex - Abfallentsorgungsgesellschaft mbH</t>
  </si>
  <si>
    <t>A.S.A. Abfall Service AG</t>
  </si>
  <si>
    <t>Müllex - Umwelt - Säuberung - GmbH</t>
  </si>
  <si>
    <t>Saubermacher Dienstleistungs-Aktiengesellschaft</t>
  </si>
  <si>
    <t>SERVUS ABFALL DienstleistungsGmbH &amp; CO KG</t>
  </si>
  <si>
    <t>Spreitzer Abfallwirtschaft GmbH</t>
  </si>
  <si>
    <t>Trügler Josef</t>
  </si>
  <si>
    <t>U.E.G. Umwelt- und Entsorgungstechnik Aktiengesellschaft</t>
  </si>
  <si>
    <t>Wirtschaftsbetriebe der Stadt Graz</t>
  </si>
  <si>
    <t>Zuser Umweltservice GmbH</t>
  </si>
  <si>
    <t>Auswahlliste Abfuhrunternehmen</t>
  </si>
  <si>
    <t>AEVG Abfall- Entsorgungs- und Verwertungs GmbH</t>
  </si>
  <si>
    <t>U.M.S. Dienstleistungs- und Handels GmbH</t>
  </si>
  <si>
    <t>Einwohnernormwert</t>
  </si>
  <si>
    <t>3. Sperrmüll</t>
  </si>
  <si>
    <t>4. Bioabfall</t>
  </si>
  <si>
    <t>5. Altpapier</t>
  </si>
  <si>
    <t>Beschreibung</t>
  </si>
  <si>
    <t>Bioabfall (biogener Siedlungsabfall)</t>
  </si>
  <si>
    <t>Kapitel</t>
  </si>
  <si>
    <t>biogene/sperrige Siedlungsabfälle noch Straßenkehricht zuzuordnen ist.</t>
  </si>
  <si>
    <t>Bitte berücksichtigen Sie hier nur die Erfassungssysteme außerhalb des Altstoffsammelzentrums (ASZ).</t>
  </si>
  <si>
    <r>
      <t xml:space="preserve">Bitte geben Sie in dieser Tabelle die </t>
    </r>
    <r>
      <rPr>
        <b/>
        <sz val="10"/>
        <rFont val="Arial"/>
        <family val="2"/>
      </rPr>
      <t>Behälteranzahl lt. Behälterstatistik</t>
    </r>
    <r>
      <rPr>
        <sz val="10"/>
        <rFont val="Arial"/>
        <family val="0"/>
      </rPr>
      <t xml:space="preserve"> (Stand 31.12. des Untersuchungsjahres) mit dem jeweiligen</t>
    </r>
  </si>
  <si>
    <t>Leerungsintervall an; einige Leerungsintervalle sind vorgegeben, so dass Sie hier nur die Behälteranzahl eintragen müssen. Falls durch</t>
  </si>
  <si>
    <t>Ihren Betrieb weitere Leerungsintervalle angeboten werden, ergänzen Sie die Behältergröße, die Behälteranzahl sowie das Leerungs-</t>
  </si>
  <si>
    <r>
      <t xml:space="preserve">Bitte beachten Sie, dass in dieser Tabelle ausschließlich die Behälter mit sog. </t>
    </r>
    <r>
      <rPr>
        <b/>
        <sz val="10"/>
        <rFont val="Arial"/>
        <family val="2"/>
      </rPr>
      <t>Vollservice</t>
    </r>
    <r>
      <rPr>
        <sz val="10"/>
        <rFont val="Arial"/>
        <family val="0"/>
      </rPr>
      <t xml:space="preserve"> angegeben werden. </t>
    </r>
    <r>
      <rPr>
        <b/>
        <sz val="10"/>
        <rFont val="Arial"/>
        <family val="2"/>
      </rPr>
      <t>Definition</t>
    </r>
    <r>
      <rPr>
        <sz val="10"/>
        <rFont val="Arial"/>
        <family val="0"/>
      </rPr>
      <t xml:space="preserve"> </t>
    </r>
    <r>
      <rPr>
        <b/>
        <sz val="10"/>
        <rFont val="Arial"/>
        <family val="2"/>
      </rPr>
      <t>Vollservice:</t>
    </r>
    <r>
      <rPr>
        <sz val="10"/>
        <rFont val="Arial"/>
        <family val="0"/>
      </rPr>
      <t xml:space="preserve"> </t>
    </r>
  </si>
  <si>
    <t>Sammelstelle Haushalt/Kleingew.</t>
  </si>
  <si>
    <r>
      <t xml:space="preserve">Machen Sie bitte zudem genauere Angaben zum </t>
    </r>
    <r>
      <rPr>
        <b/>
        <sz val="10"/>
        <rFont val="Arial"/>
        <family val="2"/>
      </rPr>
      <t>Sammelsystem</t>
    </r>
    <r>
      <rPr>
        <sz val="10"/>
        <rFont val="Arial"/>
        <family val="0"/>
      </rPr>
      <t xml:space="preserve"> (Behälterherkunft/-standort). Definitionen:</t>
    </r>
  </si>
  <si>
    <r>
      <t>Sammelstelle Haushalt/Kleingewerbe:</t>
    </r>
    <r>
      <rPr>
        <sz val="10"/>
        <rFont val="Arial"/>
        <family val="0"/>
      </rPr>
      <t xml:space="preserve"> der Behälter steht am Haushalt bzw. beim Kleingewerbebetrieb (=&gt; Holsystem)</t>
    </r>
  </si>
  <si>
    <r>
      <t>Haushaltsnahe Sammelstelle:</t>
    </r>
    <r>
      <rPr>
        <sz val="10"/>
        <rFont val="Arial"/>
        <family val="0"/>
      </rPr>
      <t xml:space="preserve"> z. B. je Großwohnanlage 1 Beh.-Standort, in Wohnsiedlungen 1 Beh.-Standort pro Straße</t>
    </r>
  </si>
  <si>
    <r>
      <t>Dezentrale Sammelstelle:</t>
    </r>
    <r>
      <rPr>
        <sz val="10"/>
        <rFont val="Arial"/>
        <family val="0"/>
      </rPr>
      <t xml:space="preserve"> im Gemeindegebiet sind mehrere Beh.-Standorte eingerichtet; i. d. R. ca. 200 - 500 Einwohner pro Standort </t>
    </r>
  </si>
  <si>
    <r>
      <t xml:space="preserve">Gewerbebetrieb: </t>
    </r>
    <r>
      <rPr>
        <sz val="10"/>
        <rFont val="Arial"/>
        <family val="0"/>
      </rPr>
      <t>der Behälter steht einem Gewerbebetrieb zur Verfügung und wird im Rahmen der Sammlung im Holsystem miterfasst</t>
    </r>
  </si>
  <si>
    <r>
      <t xml:space="preserve">Bitte beachten Sie, dass in dieser Tabelle ausschließlich die Behälter mit sog. </t>
    </r>
    <r>
      <rPr>
        <b/>
        <sz val="10"/>
        <rFont val="Arial"/>
        <family val="2"/>
      </rPr>
      <t>Teilservice</t>
    </r>
    <r>
      <rPr>
        <sz val="10"/>
        <rFont val="Arial"/>
        <family val="0"/>
      </rPr>
      <t xml:space="preserve"> angegeben werden. </t>
    </r>
    <r>
      <rPr>
        <b/>
        <sz val="10"/>
        <rFont val="Arial"/>
        <family val="2"/>
      </rPr>
      <t>Definition</t>
    </r>
    <r>
      <rPr>
        <sz val="10"/>
        <rFont val="Arial"/>
        <family val="0"/>
      </rPr>
      <t xml:space="preserve"> </t>
    </r>
    <r>
      <rPr>
        <b/>
        <sz val="10"/>
        <rFont val="Arial"/>
        <family val="2"/>
      </rPr>
      <t>Teilservice:</t>
    </r>
    <r>
      <rPr>
        <sz val="10"/>
        <rFont val="Arial"/>
        <family val="0"/>
      </rPr>
      <t xml:space="preserve"> </t>
    </r>
  </si>
  <si>
    <t xml:space="preserve">Behälterbereitstellung am Straßenrand sowie die Behälterrückstellung erfolgt durch den Eigentümer/Bürger, ausschließlich der </t>
  </si>
  <si>
    <t>Abfrage zum Sammelsystem</t>
  </si>
  <si>
    <r>
      <t xml:space="preserve">Logistikkosten (Erfassung/Sammlung/Transport); hierunter sind folgende Kostenanteile zu verstehen: </t>
    </r>
    <r>
      <rPr>
        <b/>
        <sz val="10"/>
        <rFont val="Arial"/>
        <family val="2"/>
      </rPr>
      <t>Personalkosten</t>
    </r>
    <r>
      <rPr>
        <sz val="10"/>
        <rFont val="Arial"/>
        <family val="0"/>
      </rPr>
      <t xml:space="preserve"> (inkl. Lohnneben-</t>
    </r>
  </si>
  <si>
    <r>
      <t xml:space="preserve">kosten) für das Sammelpersonal, </t>
    </r>
    <r>
      <rPr>
        <b/>
        <sz val="10"/>
        <rFont val="Arial"/>
        <family val="2"/>
      </rPr>
      <t>Fahrzeugkosten</t>
    </r>
    <r>
      <rPr>
        <sz val="10"/>
        <rFont val="Arial"/>
        <family val="0"/>
      </rPr>
      <t xml:space="preserve"> für die Sammelfahrzeuge (Instandhaltung-, Betriebs- und Kapitalkosten) und </t>
    </r>
    <r>
      <rPr>
        <b/>
        <sz val="10"/>
        <rFont val="Arial"/>
        <family val="2"/>
      </rPr>
      <t>Behälter</t>
    </r>
    <r>
      <rPr>
        <sz val="10"/>
        <rFont val="Arial"/>
        <family val="0"/>
      </rPr>
      <t>-</t>
    </r>
  </si>
  <si>
    <r>
      <t>kosten</t>
    </r>
    <r>
      <rPr>
        <sz val="10"/>
        <rFont val="Arial"/>
        <family val="0"/>
      </rPr>
      <t xml:space="preserve"> für die Behältergestellung (Kapitalkosten, Behälteraufstellung/-tausch, Behälterreinigung etc.) </t>
    </r>
  </si>
  <si>
    <t>Erfasste Menge/Tonnage aus den oben genannten Sammelsystemen</t>
  </si>
  <si>
    <t>€/Tonne</t>
  </si>
  <si>
    <t>Sammelkosten pro Menge</t>
  </si>
  <si>
    <t>Sammelkosten pro Behältereinheitenleer.</t>
  </si>
  <si>
    <r>
      <t xml:space="preserve">Bioabfall (biogener Siedlungsabfall; </t>
    </r>
    <r>
      <rPr>
        <b/>
        <sz val="12"/>
        <color indexed="12"/>
        <rFont val="Arial"/>
        <family val="2"/>
      </rPr>
      <t>Sammelsysteme außerhalb des ASZ</t>
    </r>
    <r>
      <rPr>
        <b/>
        <sz val="12"/>
        <rFont val="Arial"/>
        <family val="2"/>
      </rPr>
      <t>)</t>
    </r>
  </si>
  <si>
    <t>Erfasste Bioabfallmenge/-tonnage</t>
  </si>
  <si>
    <t>Kosten für die Bioabfallerfassung</t>
  </si>
  <si>
    <t>kg/(EW*a)</t>
  </si>
  <si>
    <t>€/(EW*a)</t>
  </si>
  <si>
    <t>EW/km²</t>
  </si>
  <si>
    <t>EW</t>
  </si>
  <si>
    <t>Garten-, Markt- oder Friedhofsabfälle)</t>
  </si>
  <si>
    <t xml:space="preserve">Sonstige Abfuhrunternehmen </t>
  </si>
  <si>
    <t>Anzahl Termine</t>
  </si>
  <si>
    <t>Anzahl Bestellungen/Adressen</t>
  </si>
  <si>
    <t>Termine pro Sammelplatz</t>
  </si>
  <si>
    <t>Anzahl Sammelplätze</t>
  </si>
  <si>
    <t>Altholzmengen (sofern separate Mengenerfassung)</t>
  </si>
  <si>
    <t>(sofern ausschließlich Abfuhr auf Bestellung)</t>
  </si>
  <si>
    <t>Adr./(1.000 EW*a)</t>
  </si>
  <si>
    <t>Adressen pro 1.000 Einwohner</t>
  </si>
  <si>
    <t>3.1.6</t>
  </si>
  <si>
    <t>ja</t>
  </si>
  <si>
    <t>nein</t>
  </si>
  <si>
    <r>
      <t xml:space="preserve">Erfolgt hierbei eine getrennte Erfassung von Altholz </t>
    </r>
    <r>
      <rPr>
        <i/>
        <sz val="10"/>
        <color indexed="12"/>
        <rFont val="Arial"/>
        <family val="2"/>
      </rPr>
      <t>(bitte ankreuzen)</t>
    </r>
    <r>
      <rPr>
        <sz val="10"/>
        <rFont val="Arial"/>
        <family val="2"/>
      </rPr>
      <t>?</t>
    </r>
  </si>
  <si>
    <t>Einwohnerspezifische Sperrmüllmenge</t>
  </si>
  <si>
    <t>Tonnen/a</t>
  </si>
  <si>
    <t>(aus Sammelsystemen außerhalb ASZ)</t>
  </si>
  <si>
    <t>Einwohnerspezifische Altholzmenge</t>
  </si>
  <si>
    <t>(Sperrmüll + evtl. Altholz)</t>
  </si>
  <si>
    <t>Sammelkosten pro Adresse</t>
  </si>
  <si>
    <t>€/Adr.</t>
  </si>
  <si>
    <r>
      <t>Sammelkosten:</t>
    </r>
    <r>
      <rPr>
        <sz val="10"/>
        <rFont val="Arial"/>
        <family val="0"/>
      </rPr>
      <t xml:space="preserve"> Kosten für der Sammlung der unter 3.2 angegebenen Sperrmüll- und evtl. Altholzmengen (sofern eine getrennte Erfassung von Altholz</t>
    </r>
  </si>
  <si>
    <r>
      <t xml:space="preserve">Bitte nur die Kosten für die unter 3. abgefragten Mengen aus den Sammelsystemen </t>
    </r>
    <r>
      <rPr>
        <b/>
        <sz val="10"/>
        <rFont val="Arial"/>
        <family val="2"/>
      </rPr>
      <t xml:space="preserve">außerhalb des ASZ </t>
    </r>
    <r>
      <rPr>
        <sz val="10"/>
        <rFont val="Arial"/>
        <family val="2"/>
      </rPr>
      <t>angeben.</t>
    </r>
  </si>
  <si>
    <r>
      <t>Behandlungskosten:</t>
    </r>
    <r>
      <rPr>
        <sz val="10"/>
        <rFont val="Arial"/>
        <family val="0"/>
      </rPr>
      <t xml:space="preserve"> Kosten für die Behandlung der unter 3.2. angegebenen Sperrmüllmengen (inkl. Behandlungskosten für getrennt erfasstes Altholz).</t>
    </r>
  </si>
  <si>
    <t>Kosten für die Altpapiererfassung</t>
  </si>
  <si>
    <t xml:space="preserve">Betriebs- und Kapitalkosten) </t>
  </si>
  <si>
    <r>
      <t xml:space="preserve">und Sperrmüll erfolgt; </t>
    </r>
    <r>
      <rPr>
        <b/>
        <sz val="10"/>
        <rFont val="Arial"/>
        <family val="2"/>
      </rPr>
      <t>ohne ASZ</t>
    </r>
    <r>
      <rPr>
        <sz val="10"/>
        <rFont val="Arial"/>
        <family val="0"/>
      </rPr>
      <t>). Die Sammelkosten beinhalten die reinen Logistikkosten (Erfassung/Sammlung/Transport); hierunter sind folgende Kosten-</t>
    </r>
  </si>
  <si>
    <r>
      <t>Sammelkosten:</t>
    </r>
    <r>
      <rPr>
        <sz val="10"/>
        <rFont val="Arial"/>
        <family val="0"/>
      </rPr>
      <t xml:space="preserve"> Kosten für der Sammlung der unter 4.2 angegebenen Bioabfallmengen (</t>
    </r>
    <r>
      <rPr>
        <b/>
        <sz val="10"/>
        <rFont val="Arial"/>
        <family val="2"/>
      </rPr>
      <t>ohne ASZ</t>
    </r>
    <r>
      <rPr>
        <sz val="10"/>
        <rFont val="Arial"/>
        <family val="0"/>
      </rPr>
      <t xml:space="preserve">). Die Sammelkosten beinhalten die reinen </t>
    </r>
  </si>
  <si>
    <r>
      <t>Behandlungskosten:</t>
    </r>
    <r>
      <rPr>
        <sz val="10"/>
        <rFont val="Arial"/>
        <family val="0"/>
      </rPr>
      <t xml:space="preserve"> Kosten für die Behandlung der unter 4.2 angegebenen Bioabfallmengen (</t>
    </r>
    <r>
      <rPr>
        <b/>
        <sz val="10"/>
        <rFont val="Arial"/>
        <family val="2"/>
      </rPr>
      <t>ohne ASZ</t>
    </r>
    <r>
      <rPr>
        <sz val="10"/>
        <rFont val="Arial"/>
        <family val="0"/>
      </rPr>
      <t>)</t>
    </r>
  </si>
  <si>
    <t>Einnahmen und Erlöse (aus der Vermarktung)</t>
  </si>
  <si>
    <t>Erlöse aus Vermarktung pro Menge</t>
  </si>
  <si>
    <t xml:space="preserve">Alle Altpapiermengen aus der Mischsammlung, bei der sowohl Papier (Zeitungen, Drucksorten etc.), Pappe (Karton, Wellpappe) und Verpackungen im </t>
  </si>
  <si>
    <t>kommunalen Sammelsystem erfasst werden. Somit sind hier auch die Verpackungsmengen zu berücksichtigen, für die der ARO die entsprechende</t>
  </si>
  <si>
    <r>
      <t xml:space="preserve">Altpapier (Papier, Pappe </t>
    </r>
    <r>
      <rPr>
        <b/>
        <u val="single"/>
        <sz val="12"/>
        <rFont val="Arial"/>
        <family val="2"/>
      </rPr>
      <t>und</t>
    </r>
    <r>
      <rPr>
        <b/>
        <sz val="12"/>
        <rFont val="Arial"/>
        <family val="2"/>
      </rPr>
      <t xml:space="preserve"> Verpackungen; </t>
    </r>
    <r>
      <rPr>
        <b/>
        <sz val="12"/>
        <color indexed="12"/>
        <rFont val="Arial"/>
        <family val="2"/>
      </rPr>
      <t>Sammelsysteme außerhalb des ASZ</t>
    </r>
    <r>
      <rPr>
        <b/>
        <sz val="12"/>
        <rFont val="Arial"/>
        <family val="2"/>
      </rPr>
      <t>)</t>
    </r>
  </si>
  <si>
    <r>
      <t xml:space="preserve">Erfasste Altpapiermenge/-tonnage (Papier, Pappe </t>
    </r>
    <r>
      <rPr>
        <b/>
        <u val="single"/>
        <sz val="12"/>
        <rFont val="Arial"/>
        <family val="2"/>
      </rPr>
      <t>und</t>
    </r>
    <r>
      <rPr>
        <b/>
        <sz val="12"/>
        <rFont val="Arial"/>
        <family val="2"/>
      </rPr>
      <t xml:space="preserve"> Verpackungen; </t>
    </r>
    <r>
      <rPr>
        <i/>
        <sz val="10"/>
        <color indexed="12"/>
        <rFont val="Arial"/>
        <family val="2"/>
      </rPr>
      <t>außerhalb des ASZ</t>
    </r>
    <r>
      <rPr>
        <b/>
        <sz val="12"/>
        <rFont val="Arial"/>
        <family val="2"/>
      </rPr>
      <t>)</t>
    </r>
  </si>
  <si>
    <r>
      <t>Sammelkosten:</t>
    </r>
    <r>
      <rPr>
        <sz val="10"/>
        <rFont val="Arial"/>
        <family val="0"/>
      </rPr>
      <t xml:space="preserve"> Kosten für der Sammlung der unter 5.2 angegebenen Altpapiermengen (</t>
    </r>
    <r>
      <rPr>
        <b/>
        <sz val="10"/>
        <rFont val="Arial"/>
        <family val="2"/>
      </rPr>
      <t>ohne ASZ</t>
    </r>
    <r>
      <rPr>
        <sz val="10"/>
        <rFont val="Arial"/>
        <family val="0"/>
      </rPr>
      <t xml:space="preserve">). Die Sammelkosten beinhalten die reinen </t>
    </r>
  </si>
  <si>
    <r>
      <t>Behandlungskosten:</t>
    </r>
    <r>
      <rPr>
        <sz val="10"/>
        <rFont val="Arial"/>
        <family val="0"/>
      </rPr>
      <t xml:space="preserve"> Kosten für die Behandlung (Sortierung etc.) der unter 5.2. angegebenen Altpapiermengen (</t>
    </r>
    <r>
      <rPr>
        <b/>
        <sz val="10"/>
        <rFont val="Arial"/>
        <family val="2"/>
      </rPr>
      <t>ohne ASZ</t>
    </r>
    <r>
      <rPr>
        <sz val="10"/>
        <rFont val="Arial"/>
        <family val="0"/>
      </rPr>
      <t>)</t>
    </r>
  </si>
  <si>
    <r>
      <t>Einnahmen und Erlöse aus Vermarktung</t>
    </r>
    <r>
      <rPr>
        <sz val="10"/>
        <rFont val="Arial"/>
        <family val="0"/>
      </rPr>
      <t>: Einnahmen und Erlöse aus der Vermarktung der unter 5.2 angegebenen Altpapiermengen.</t>
    </r>
  </si>
  <si>
    <t>Altpapier (Papier, Pappe und Verpackungen)</t>
  </si>
  <si>
    <t>Seite</t>
  </si>
  <si>
    <t>Zuständigkeit obliegt. Bitte berücksichtigen Sie hier nur die Erfassungssysteme außerhalb des Altstoffsammelzentrums (ASZ).</t>
  </si>
  <si>
    <t>7.</t>
  </si>
  <si>
    <t>Einwohnernormwert Bioabfall</t>
  </si>
  <si>
    <t>6. Altstoffsammelzentrum (ASZ)</t>
  </si>
  <si>
    <t>6.1</t>
  </si>
  <si>
    <t>6.1.1</t>
  </si>
  <si>
    <t>6.1.2</t>
  </si>
  <si>
    <t>Betreute Einwohner pro ASZ</t>
  </si>
  <si>
    <t>6.1.3</t>
  </si>
  <si>
    <t>Öffnungszeiten pro Woche</t>
  </si>
  <si>
    <t>h/wo.</t>
  </si>
  <si>
    <t>6.2</t>
  </si>
  <si>
    <t>h/a</t>
  </si>
  <si>
    <t>Mitarbeiterminuten Betreuung pro Einwohner</t>
  </si>
  <si>
    <t>6.3</t>
  </si>
  <si>
    <t>Personalstunden pro Jahr</t>
  </si>
  <si>
    <t>Anlieferungen pro Öffnungsstunde</t>
  </si>
  <si>
    <t>Anl./h</t>
  </si>
  <si>
    <t>6.4</t>
  </si>
  <si>
    <t>Anlieferungen pro Jahr</t>
  </si>
  <si>
    <t>Personalkosten pro Öffnungsstunde</t>
  </si>
  <si>
    <t>€/h</t>
  </si>
  <si>
    <t>6.5</t>
  </si>
  <si>
    <t>Betriebskosten pro Öffnungsstunde</t>
  </si>
  <si>
    <t>6.6</t>
  </si>
  <si>
    <t>6.6.1</t>
  </si>
  <si>
    <t>Personalkosten</t>
  </si>
  <si>
    <t>6.6.2</t>
  </si>
  <si>
    <t>Betriebskosten</t>
  </si>
  <si>
    <t>6.6.3</t>
  </si>
  <si>
    <t>6.6.4</t>
  </si>
  <si>
    <t xml:space="preserve"> - Anteil Altholz</t>
  </si>
  <si>
    <t>Betrieb des Altstoffsammelzentrums</t>
  </si>
  <si>
    <t>6.2.1</t>
  </si>
  <si>
    <t>6.2.2</t>
  </si>
  <si>
    <t>6.2.3</t>
  </si>
  <si>
    <t>6.7</t>
  </si>
  <si>
    <t>6.7.1</t>
  </si>
  <si>
    <t>6.7.2</t>
  </si>
  <si>
    <t>6.7.3</t>
  </si>
  <si>
    <t>6.7.4</t>
  </si>
  <si>
    <t>6.8</t>
  </si>
  <si>
    <t>6.8.1</t>
  </si>
  <si>
    <t>Kosten der Gemeinde für die Nutzung eines ASZ in einer Gemeindekooperation</t>
  </si>
  <si>
    <t>Kostenanteil der Gemeinde für die Nutzung des ASZ</t>
  </si>
  <si>
    <t>EW/ASZ</t>
  </si>
  <si>
    <t>6.6.5</t>
  </si>
  <si>
    <t>6.6.6</t>
  </si>
  <si>
    <t>Öffnungszeit des ASZ in Stunden pro Jahr</t>
  </si>
  <si>
    <t>Menge aller Verpackungen</t>
  </si>
  <si>
    <t>davon Kartonagen</t>
  </si>
  <si>
    <t>Menge biogene Abfälle</t>
  </si>
  <si>
    <t>Menge Altstoffe</t>
  </si>
  <si>
    <t>davon Altpapier (gemischt)</t>
  </si>
  <si>
    <t>Menge Problemstoffe</t>
  </si>
  <si>
    <t>davon Sperrmüll</t>
  </si>
  <si>
    <t>davon Altholz</t>
  </si>
  <si>
    <t>6.6.7</t>
  </si>
  <si>
    <t>6.6.8</t>
  </si>
  <si>
    <t>6.6.9</t>
  </si>
  <si>
    <t>davon Altmetalle</t>
  </si>
  <si>
    <t>Menge sonstige Abfälle</t>
  </si>
  <si>
    <t xml:space="preserve"> - Anteil biogene Abfälle</t>
  </si>
  <si>
    <t xml:space="preserve"> - Anteil Altpapier u. Kartonagen</t>
  </si>
  <si>
    <t xml:space="preserve"> - Anteil Altmetalle</t>
  </si>
  <si>
    <t>Durchsatzmenge pro Öffnungsstunde</t>
  </si>
  <si>
    <t>kg/h</t>
  </si>
  <si>
    <t xml:space="preserve"> - Anteil Sperrmüll</t>
  </si>
  <si>
    <t xml:space="preserve">Kosten Nutzung des ASZ pro Einwohner </t>
  </si>
  <si>
    <t>(Bezug: Einwohner der Gemeinde)</t>
  </si>
  <si>
    <t>6. Altstoffsammelzentrum</t>
  </si>
  <si>
    <t xml:space="preserve">Hierunter sind nicht die Stundenaufwände für Entsorgungsfahrten etc. zu verstehen. </t>
  </si>
  <si>
    <t xml:space="preserve">(von ASZ-Mitarbeitern alleine für das ASZ aufgewendete Zeit wie z. B. Annahmezeiten, Manipulationszeiten, Reinigungszeiten und Instandhaltungszeiten). </t>
  </si>
  <si>
    <t>Verbundkartons, Holz- und Keramikverpackungen</t>
  </si>
  <si>
    <r>
      <t>Verpackungen</t>
    </r>
    <r>
      <rPr>
        <sz val="10"/>
        <rFont val="Arial"/>
        <family val="0"/>
      </rPr>
      <t xml:space="preserve"> sind: Weiß- und Buntglas, Kunststoffflaschen, -hohlkörper und Folien, EPS-Styropor, Metallverpackungen, Kartonagen, Getränke-</t>
    </r>
  </si>
  <si>
    <r>
      <t xml:space="preserve">Unter </t>
    </r>
    <r>
      <rPr>
        <b/>
        <sz val="10"/>
        <rFont val="Arial"/>
        <family val="2"/>
      </rPr>
      <t>Öffnungsstunden</t>
    </r>
    <r>
      <rPr>
        <sz val="10"/>
        <rFont val="Arial"/>
        <family val="0"/>
      </rPr>
      <t xml:space="preserve"> pro Jahr sind die Zeiten gemeint, zu denen der Bürger die Möglichkeit hat, die Abfallfraktionen anzuliefern. Bitte nehmen Sie eine </t>
    </r>
  </si>
  <si>
    <r>
      <t xml:space="preserve">Hier sind die </t>
    </r>
    <r>
      <rPr>
        <b/>
        <sz val="10"/>
        <rFont val="Arial"/>
        <family val="2"/>
      </rPr>
      <t>Personalstunden</t>
    </r>
    <r>
      <rPr>
        <sz val="10"/>
        <rFont val="Arial"/>
        <family val="0"/>
      </rPr>
      <t xml:space="preserve"> pro Jahr für die Betreuung bei der Annahme der Abfallfraktionen am ASZ inkl. vor- und nachbereitende Rüstzeiten gemeint</t>
    </r>
  </si>
  <si>
    <r>
      <t xml:space="preserve">Aufsummierung aller im Jahr angefallenen </t>
    </r>
    <r>
      <rPr>
        <b/>
        <sz val="10"/>
        <rFont val="Arial"/>
        <family val="2"/>
      </rPr>
      <t>Anlieferungen</t>
    </r>
    <r>
      <rPr>
        <sz val="10"/>
        <rFont val="Arial"/>
        <family val="0"/>
      </rPr>
      <t xml:space="preserve"> unabhängig davon, welcher Mengenumfang jeweils angeliefert wurde.</t>
    </r>
  </si>
  <si>
    <t>werden die verschiedenen Fraktionen wie folgt zusammengefasst:</t>
  </si>
  <si>
    <t xml:space="preserve">Hier werden die Mengen, welche am ASZ angenommen werden, differenziert abgefragt. Die Abfrage erfolgt hierbei übergeordnet nach Gruppen; hier </t>
  </si>
  <si>
    <r>
      <t>Biogene Abfälle</t>
    </r>
    <r>
      <rPr>
        <sz val="10"/>
        <rFont val="Arial"/>
        <family val="0"/>
      </rPr>
      <t xml:space="preserve"> sind: Bioabfälle wie Rasenschnitt, Laub, Blumen, Baum-, Strauch- und Heckenschnitt</t>
    </r>
  </si>
  <si>
    <t xml:space="preserve">Elektro- und Elektroaltgeräte sind: </t>
  </si>
  <si>
    <t xml:space="preserve">Gruppe 5: Haushaltskleingeräte (Kaffeemaschine, Bügeleisen), Werkzeuge (Bohrmaschine), Sport- und Freizeitgeräte etc.  </t>
  </si>
  <si>
    <t>Gruppe 1: Haushaltsgroßgeräte (Backofen, Geschirrspüler etc.)</t>
  </si>
  <si>
    <r>
      <t>Problemstoffe</t>
    </r>
    <r>
      <rPr>
        <sz val="10"/>
        <rFont val="Arial"/>
        <family val="0"/>
      </rPr>
      <t xml:space="preserve"> sind: Altöl, Öl- und Luftfilter, Werkstättenabfälle, gebrauchte Ölgebinde, Lösungsmittel, Säure- und Laugengemische, Schädlings-</t>
    </r>
  </si>
  <si>
    <t>zur Entsorgungs-/Verwertungsanlage zu berücksichtigen.</t>
  </si>
  <si>
    <t>Erzielte Erlöse aus Vermarktung/Einnahmen bei Annahme</t>
  </si>
  <si>
    <r>
      <t xml:space="preserve">Entsorgungskosten: </t>
    </r>
    <r>
      <rPr>
        <sz val="10"/>
        <rFont val="Arial"/>
        <family val="2"/>
      </rPr>
      <t>Summe der Kosten für Entsorgung/Verwertung der unter 6.6 angegebenen Mengen. Hier sind auch die Kosten für den Transport</t>
    </r>
  </si>
  <si>
    <r>
      <t>Erzielte Erlöse</t>
    </r>
    <r>
      <rPr>
        <sz val="10"/>
        <rFont val="Arial"/>
        <family val="0"/>
      </rPr>
      <t xml:space="preserve"> durch Vermarktung/</t>
    </r>
    <r>
      <rPr>
        <b/>
        <sz val="10"/>
        <rFont val="Arial"/>
        <family val="2"/>
      </rPr>
      <t>Einnahmen bei der Annahme</t>
    </r>
    <r>
      <rPr>
        <sz val="10"/>
        <rFont val="Arial"/>
        <family val="0"/>
      </rPr>
      <t xml:space="preserve">: Bitte berücksichtigen Sie in dieser Position sowohl die erzielten Erlöse aus der </t>
    </r>
  </si>
  <si>
    <t>Vermarktung (beispielsweise für Altmetalle) als auch die Einnahmen (Anlieferungsgebühr) bei der Annahme der Abfallfraktionen.</t>
  </si>
  <si>
    <r>
      <t>Kosten</t>
    </r>
    <r>
      <rPr>
        <sz val="10"/>
        <rFont val="Arial"/>
        <family val="0"/>
      </rPr>
      <t xml:space="preserve"> für die </t>
    </r>
    <r>
      <rPr>
        <b/>
        <sz val="10"/>
        <rFont val="Arial"/>
        <family val="2"/>
      </rPr>
      <t>Nutzung eines ASZ</t>
    </r>
    <r>
      <rPr>
        <sz val="10"/>
        <rFont val="Arial"/>
        <family val="0"/>
      </rPr>
      <t xml:space="preserve"> in einer Gemeindekooperation: hier sind die Kosten für die Nutzung eines ASZ anzugeben, sofern die Gemeinde das </t>
    </r>
  </si>
  <si>
    <t>Kosten-, Einnahmen- und Gebührenübersicht</t>
  </si>
  <si>
    <t>7. Kosten-, Einnahmen- und Gebührenübersicht</t>
  </si>
  <si>
    <t>Fraktion</t>
  </si>
  <si>
    <t>Einnahmen</t>
  </si>
  <si>
    <t>Grundgebühr</t>
  </si>
  <si>
    <t>variable Geb.</t>
  </si>
  <si>
    <t>Summe Geb.</t>
  </si>
  <si>
    <t>[€/a]</t>
  </si>
  <si>
    <t>Standplatzreinigung</t>
  </si>
  <si>
    <t>Straßenkehricht</t>
  </si>
  <si>
    <t>Verwaltung</t>
  </si>
  <si>
    <t>ASZ Nutzung (in Gemeindekoop.)</t>
  </si>
  <si>
    <t>Bitte in den freigeschalteten Feldern die Kosten und Einnahmen für die genannten Fraktionen ergänzen.</t>
  </si>
  <si>
    <t>7.1</t>
  </si>
  <si>
    <r>
      <t xml:space="preserve">die Gemeinde betreibt ein eigenes/eigenständiges ASZ (bitte weiter mit </t>
    </r>
    <r>
      <rPr>
        <b/>
        <sz val="10"/>
        <rFont val="Arial"/>
        <family val="2"/>
      </rPr>
      <t>6.2 bis 6.7</t>
    </r>
    <r>
      <rPr>
        <sz val="10"/>
        <rFont val="Arial"/>
        <family val="0"/>
      </rPr>
      <t>)</t>
    </r>
  </si>
  <si>
    <t>die Gemeinde hat kein eigenes ASZ, sondern ist Mitglied in einer Gemeindekooperation; bitte ASZ benennen:</t>
  </si>
  <si>
    <r>
      <t xml:space="preserve">die Gemeinde ist Betreiber des ASZ in einer Gemeindekooperation (bitte weiter mit </t>
    </r>
    <r>
      <rPr>
        <b/>
        <sz val="10"/>
        <rFont val="Arial"/>
        <family val="2"/>
      </rPr>
      <t>6.2 bis 6.7</t>
    </r>
    <r>
      <rPr>
        <sz val="10"/>
        <rFont val="Arial"/>
        <family val="0"/>
      </rPr>
      <t xml:space="preserve">); ASZ benennen: </t>
    </r>
  </si>
  <si>
    <t>6.7.5</t>
  </si>
  <si>
    <t>Kosten Betrieb und Entsorgung pro Einw.</t>
  </si>
  <si>
    <t>Steirischer Abfallspiegel - Datenerhebung</t>
  </si>
  <si>
    <t>Steirischer Abfallspiegel - Allgemeine Kennzahlen</t>
  </si>
  <si>
    <t>Steirischer Abfallspiegel - Kennzahlen Sperrmüll</t>
  </si>
  <si>
    <t>Steirischer Abfallspiegel - Kennzahlen Bioabfall</t>
  </si>
  <si>
    <t>Steirischer Abfallspiegel - Kennzahlen Altpapier</t>
  </si>
  <si>
    <t>Steirischer Abfallspiegel - Kennzahlen Altstoffsammelzentrum</t>
  </si>
  <si>
    <t>Steirischer Abfallspiegel - Kennzahlen</t>
  </si>
  <si>
    <r>
      <t xml:space="preserve">Einwohnerzahl im Einzugsgebiet des ASZ </t>
    </r>
    <r>
      <rPr>
        <sz val="10"/>
        <color indexed="12"/>
        <rFont val="Arial"/>
        <family val="2"/>
      </rPr>
      <t xml:space="preserve">(Aufsummierung für alle teilnehmenden Gemeinden; bezogen auf das obige Untersuchungsjahr) </t>
    </r>
  </si>
  <si>
    <t>Durchsatzmengen des ASZ pro Jahr aus dem Einzugsgebiet</t>
  </si>
  <si>
    <t>Kosten der Betriebe mit eigenem ASZ und Betreiber eines ASZ in einer Gemeindekooperation</t>
  </si>
  <si>
    <t>Betriebskosten pro Einwohner Einzugsgebiet</t>
  </si>
  <si>
    <t>Erlöse pro Einwohner Einzugsgebiet</t>
  </si>
  <si>
    <t>Einzugsgebiet nach Abzug der Erlöse</t>
  </si>
  <si>
    <t xml:space="preserve">Kosten Betrieb und Entsorgung pro Einw. </t>
  </si>
  <si>
    <t>der Betreiber-Gemeinde</t>
  </si>
  <si>
    <t>Durchsatzmenge ASZ  pro Einwohner</t>
  </si>
  <si>
    <t>Mengenbetrachtung ASZ pro Einwohner Einzugsgebiet:</t>
  </si>
  <si>
    <t xml:space="preserve">ASZ einer Gemeindekooperation nutzt und nicht selber Betreiber des ASZ ist. </t>
  </si>
  <si>
    <t>Übersicht zu Kosten, Einnahmen und Gebühren ausgewählter Abfallfraktionen</t>
  </si>
  <si>
    <t>ASZ Betrieb (Betreiber des ASZ)</t>
  </si>
  <si>
    <r>
      <t xml:space="preserve">Erlöse </t>
    </r>
    <r>
      <rPr>
        <sz val="10"/>
        <rFont val="Arial"/>
        <family val="2"/>
      </rPr>
      <t>und</t>
    </r>
  </si>
  <si>
    <t>Gebühreneinnahmen</t>
  </si>
  <si>
    <t>Gesamtkosten</t>
  </si>
  <si>
    <t>Kostendeckung (gesamt) für die Gemeinde</t>
  </si>
  <si>
    <t xml:space="preserve">In diesem Kapitel werden die Kosten, Erlöse/Einnahmen und Gebühreneinnahmen zusammenfassend abgefragt und dargestellt. Zur Vereinfachung der </t>
  </si>
  <si>
    <t>Hierzu noch folgende Definitionen:</t>
  </si>
  <si>
    <r>
      <t>Kosten Standplatzreinigung</t>
    </r>
    <r>
      <rPr>
        <sz val="10"/>
        <rFont val="Arial"/>
        <family val="0"/>
      </rPr>
      <t xml:space="preserve">: Hierunter sind alle Kosten (Kosten für Personal, Fahrzeugeinsatz und Entsorgung des Abfall) zu verstehen, die im Rahmen </t>
    </r>
  </si>
  <si>
    <r>
      <t>Kosten Straßenkehricht:</t>
    </r>
    <r>
      <rPr>
        <sz val="10"/>
        <rFont val="Arial"/>
        <family val="0"/>
      </rPr>
      <t xml:space="preserve"> Hierunter sind alle Kosten zu verstehen, die im Rahmen der Erfassung von Straßenkehricht (i. d. R. an Bauhöfen und ASZ)</t>
    </r>
  </si>
  <si>
    <r>
      <t xml:space="preserve">anfallen (Kosten Containerbereitstellung, Transport zur Behandlungsanlage, Entsorgungskosten, </t>
    </r>
    <r>
      <rPr>
        <b/>
        <u val="single"/>
        <sz val="10"/>
        <rFont val="Arial"/>
        <family val="2"/>
      </rPr>
      <t>ohne</t>
    </r>
    <r>
      <rPr>
        <sz val="10"/>
        <rFont val="Arial"/>
        <family val="0"/>
      </rPr>
      <t xml:space="preserve"> Kosten für die Erfassung durch die Straßenreinigung).</t>
    </r>
  </si>
  <si>
    <r>
      <t>Kosten der Verwaltung</t>
    </r>
    <r>
      <rPr>
        <sz val="10"/>
        <rFont val="Arial"/>
        <family val="2"/>
      </rPr>
      <t>: hierunter sind alle Kosten der Gemeinde für die verwaltungstechnische Umsetzung der abfallwirtschaftlichen Aufgaben zu verstehen.</t>
    </r>
  </si>
  <si>
    <r>
      <t>davon Kosten Organisation der Abfallwirtschaft:</t>
    </r>
    <r>
      <rPr>
        <sz val="10"/>
        <rFont val="Arial"/>
        <family val="2"/>
      </rPr>
      <t xml:space="preserve"> Personalkosten für Abfallgebührenabrechnung, -kalkulation, Buchhaltung, Sekretariat, </t>
    </r>
  </si>
  <si>
    <t xml:space="preserve">abfallrelevante Tätigkeiten, anteilige Kosten für Nutzung der gemeindeeigenen Infrastruktur (Mieten, Betriebskosten, Telefonkosten), anteilige </t>
  </si>
  <si>
    <t xml:space="preserve">Abschreibungen für Behälterausstattung, Gebäude- und Büroausstattungen, Schuldendienstleistungen für sachbezogene Darlehen, </t>
  </si>
  <si>
    <t xml:space="preserve"> - </t>
  </si>
  <si>
    <r>
      <t xml:space="preserve">davon Kosten Nachhaltige Umwelt- und Abfallberatung: </t>
    </r>
    <r>
      <rPr>
        <sz val="10"/>
        <rFont val="Arial"/>
        <family val="2"/>
      </rPr>
      <t xml:space="preserve">Leistungsabgeltung an den AWV zur Inanspruchnahme von Umwelt- und </t>
    </r>
  </si>
  <si>
    <t xml:space="preserve">Abfallberatung, Personalkosten für gemeindeeigene Umwelt- und Abfallberatung, Aus- und Weiterbildungskosten der gemeindeeigenen </t>
  </si>
  <si>
    <t xml:space="preserve">Plausibilitätsprüfungen/Kennzahlenermittlung - grüner Bereich: </t>
  </si>
  <si>
    <t xml:space="preserve"> - neben dem Bereich der Dateneingabe ist ein Bereich zur automatisierten Durchführung von Plausibilitätsprüfungen (grüner Bereich) angelegt. In den grünen Feldern </t>
  </si>
  <si>
    <t>Behälterbereitstellung, Entleerung und Behälterrückstellung während der Sammlung durch Mitarbeiter (Lader) des Abfuhrunternehmens.</t>
  </si>
  <si>
    <t>Entleerungsvorgang erfolgt durch Mitarbeiter (Lader) des Abfuhrunternehmens.</t>
  </si>
  <si>
    <r>
      <t xml:space="preserve">anteile zu verstehen: Personalkosten (inkl. Lohnnebenkosten) für das Sammelpersonal, </t>
    </r>
    <r>
      <rPr>
        <b/>
        <sz val="10"/>
        <rFont val="Arial"/>
        <family val="2"/>
      </rPr>
      <t>Fahrzeugkosten</t>
    </r>
    <r>
      <rPr>
        <sz val="10"/>
        <rFont val="Arial"/>
        <family val="0"/>
      </rPr>
      <t xml:space="preserve"> für die Sammelfahrzeuge (Instandhaltung-, </t>
    </r>
  </si>
  <si>
    <t>Fremdleistungen (Rechtsberatungen, etc.), Sachkosten (Büromaterial), Aufwandsentschädigungen für PolitikerInnen etc.</t>
  </si>
  <si>
    <t>(Inanspruchnahme PR-Agentur etc.), Sachkosten (Werbegeschenke), sonstige Kosten etc.</t>
  </si>
  <si>
    <t>min/(EW*a)</t>
  </si>
  <si>
    <r>
      <t>Anzahl Gefäße laut Behälterstatistik mit Teilservice</t>
    </r>
    <r>
      <rPr>
        <sz val="10"/>
        <rFont val="Arial"/>
        <family val="2"/>
      </rPr>
      <t xml:space="preserve"> (Behälterbereitstellung am Straßenrand und Behälterrückstellung durch Bürger/Eigentümer)</t>
    </r>
  </si>
  <si>
    <t>wöchentlich</t>
  </si>
  <si>
    <t>2-wöchentlich</t>
  </si>
  <si>
    <t>4-wöchentlich</t>
  </si>
  <si>
    <t>6-wöchentlich</t>
  </si>
  <si>
    <r>
      <t xml:space="preserve">Anzahl Gefäße laut Behälterstatistik mit Vollservice </t>
    </r>
    <r>
      <rPr>
        <sz val="10"/>
        <rFont val="Arial"/>
        <family val="2"/>
      </rPr>
      <t>(Behälterbereitstellung, Entleerung und Behälterrückstellung durch das Abfuhrunternehmen)</t>
    </r>
  </si>
  <si>
    <t>Abfuhrfrequenz pro Behälter</t>
  </si>
  <si>
    <t>2.1.3</t>
  </si>
  <si>
    <t>Sackvolumen in l</t>
  </si>
  <si>
    <t>Anzahl ausgegebene Säcke pro Jahr</t>
  </si>
  <si>
    <t>Sacksammlung - Anzahl ausgegebene Säcke pro Jahr</t>
  </si>
  <si>
    <t>ZWS SACK</t>
  </si>
  <si>
    <t>l/(EW*a)</t>
  </si>
  <si>
    <t>Navigation in der  elektronischen EXCEL-Version des Erhebungsbogens:</t>
  </si>
  <si>
    <t xml:space="preserve"> - nach Möglichkeit vor und während der Dateneingabe Sicherheitskopien der elektronischen EXCEL-Version anlegen</t>
  </si>
  <si>
    <t>3.3.1</t>
  </si>
  <si>
    <t>3.3.2</t>
  </si>
  <si>
    <t>3.3.3</t>
  </si>
  <si>
    <t>(Sperrmüll + Altholz)</t>
  </si>
  <si>
    <r>
      <t>durch die</t>
    </r>
    <r>
      <rPr>
        <b/>
        <sz val="10"/>
        <color indexed="10"/>
        <rFont val="Arial"/>
        <family val="2"/>
      </rPr>
      <t xml:space="preserve"> </t>
    </r>
    <r>
      <rPr>
        <sz val="10"/>
        <rFont val="Arial"/>
        <family val="2"/>
      </rPr>
      <t>Systemabfuhr übernommen</t>
    </r>
    <r>
      <rPr>
        <sz val="10"/>
        <rFont val="Arial"/>
        <family val="0"/>
      </rPr>
      <t xml:space="preserve"> werden kann)</t>
    </r>
  </si>
  <si>
    <t>davon Entsorgungskosten Sperrmüll</t>
  </si>
  <si>
    <t>davon Entsorgungskosten Altholz</t>
  </si>
  <si>
    <t>davon Entsorgungskosten biogene Abfälle</t>
  </si>
  <si>
    <t>davon Entsorgungskosten Problemstoffe</t>
  </si>
  <si>
    <t>davon Erlöse Altmetalle</t>
  </si>
  <si>
    <t>Entsorgungskosten (alle Fraktionen)</t>
  </si>
  <si>
    <t>6.7.6</t>
  </si>
  <si>
    <t>6.7.8</t>
  </si>
  <si>
    <t>6.7.7</t>
  </si>
  <si>
    <t>6.7.9</t>
  </si>
  <si>
    <t>6.7.10</t>
  </si>
  <si>
    <t>6.7.11</t>
  </si>
  <si>
    <t>6.7.12</t>
  </si>
  <si>
    <t>6.7.13</t>
  </si>
  <si>
    <t>6.6.10</t>
  </si>
  <si>
    <t>6.6.11</t>
  </si>
  <si>
    <t>Anton Mayer Ges. mbH</t>
  </si>
  <si>
    <t>Verpackungssammlung (VVO)</t>
  </si>
  <si>
    <t>Tierkörperverwertung</t>
  </si>
  <si>
    <t>davon Erlöse Kartonagen</t>
  </si>
  <si>
    <t>davon Erlöse Altpapier (gemischt)</t>
  </si>
  <si>
    <r>
      <t xml:space="preserve">Zu ergänzen sind noch die </t>
    </r>
    <r>
      <rPr>
        <b/>
        <sz val="10"/>
        <rFont val="Arial"/>
        <family val="2"/>
      </rPr>
      <t>Gesamtkosten,</t>
    </r>
    <r>
      <rPr>
        <sz val="10"/>
        <rFont val="Arial"/>
        <family val="0"/>
      </rPr>
      <t xml:space="preserve"> </t>
    </r>
    <r>
      <rPr>
        <b/>
        <sz val="10"/>
        <rFont val="Arial"/>
        <family val="2"/>
      </rPr>
      <t>Erlöse/Einnahmen</t>
    </r>
    <r>
      <rPr>
        <sz val="10"/>
        <rFont val="Arial"/>
        <family val="0"/>
      </rPr>
      <t xml:space="preserve"> für die Positionen </t>
    </r>
    <r>
      <rPr>
        <b/>
        <sz val="10"/>
        <rFont val="Arial"/>
        <family val="2"/>
      </rPr>
      <t>Verpackungssammlung (VVO), Tierkörperverwertung, Standplatz-</t>
    </r>
  </si>
  <si>
    <t>Rahmen der Sammlung von Verpackungen (VVO) anfallen.</t>
  </si>
  <si>
    <r>
      <t>Kosten Verpackungssammlung:</t>
    </r>
    <r>
      <rPr>
        <sz val="10"/>
        <rFont val="Arial"/>
        <family val="0"/>
      </rPr>
      <t xml:space="preserve"> Hierunter sind alle evtl. Kosten (Kosten für Personal, Fahrzeugeinsatz und Entsorgung des Abfall) zu verstehen, die im </t>
    </r>
  </si>
  <si>
    <r>
      <t>Kosten Tierkörperverwertung:</t>
    </r>
    <r>
      <rPr>
        <sz val="10"/>
        <rFont val="Arial"/>
        <family val="0"/>
      </rPr>
      <t xml:space="preserve"> Hierunter sind alle Kosten (Kosten für Personal, Fahrzeugeinsatz und Entsorgung) zu verstehen, die im Rahmen</t>
    </r>
  </si>
  <si>
    <t>der Sammlung von Tierkörpern anfallen.</t>
  </si>
  <si>
    <r>
      <t xml:space="preserve">Erlöse/Einnahmen Verpackungssammlung: </t>
    </r>
    <r>
      <rPr>
        <sz val="10"/>
        <rFont val="Arial"/>
        <family val="2"/>
      </rPr>
      <t>evtl. Rückerstattungen für die Verpackungssammlung</t>
    </r>
  </si>
  <si>
    <r>
      <t xml:space="preserve">Erlöse/Einnahmen Tierkörperverwertung: </t>
    </r>
    <r>
      <rPr>
        <sz val="10"/>
        <rFont val="Arial"/>
        <family val="2"/>
      </rPr>
      <t>evtl. Erlöse/Einnahmen für die Erfassung von Tierkörpern</t>
    </r>
  </si>
  <si>
    <r>
      <t xml:space="preserve">Bitte berücksichtigen Sie hier nur die </t>
    </r>
    <r>
      <rPr>
        <b/>
        <sz val="10"/>
        <rFont val="Arial"/>
        <family val="2"/>
      </rPr>
      <t>mobile Sammlung</t>
    </r>
    <r>
      <rPr>
        <sz val="10"/>
        <rFont val="Arial"/>
        <family val="0"/>
      </rPr>
      <t xml:space="preserve"> außerhalb des Altstoffsammelzentrums (ASZ).</t>
    </r>
  </si>
  <si>
    <t xml:space="preserve"> - in allen grau hinterlegten Feldern ist keine Eingabe möglich (gesperrter Bereich); graue Felder mit Umrahmung enthalten zudem Zwischenberechnungen; eine</t>
  </si>
  <si>
    <t xml:space="preserve">   Dateneingabe ist hier in der Regel jedoch ebenfalls nicht möglich</t>
  </si>
  <si>
    <t>1.4.1</t>
  </si>
  <si>
    <t>1.4.1.1</t>
  </si>
  <si>
    <t>1.4.1.2</t>
  </si>
  <si>
    <t>1.4.1.3</t>
  </si>
  <si>
    <t>1.4.2</t>
  </si>
  <si>
    <t>1.4.2.1</t>
  </si>
  <si>
    <t>1.4.2.2</t>
  </si>
  <si>
    <t>1.4.2.3</t>
  </si>
  <si>
    <t>1.5</t>
  </si>
  <si>
    <t>intervall bezogen auf ein Jahr in der jeweiligen Zeile/Spalte.</t>
  </si>
  <si>
    <t>Aufsummierung für das gesamte Jahr vor.</t>
  </si>
  <si>
    <t>Bitte alle Angaben bezugnehmend auf das genannte Untersuchungsjahr angeben.</t>
  </si>
  <si>
    <t>davon Altreifen</t>
  </si>
  <si>
    <t>6.6.12</t>
  </si>
  <si>
    <t>6.6.13</t>
  </si>
  <si>
    <t>davon Bauschutt</t>
  </si>
  <si>
    <t>davon Erlöse Elektroaltgeräte (Infrastrukturentgelt)</t>
  </si>
  <si>
    <t>davon Entsorgungskosten Bauschutt</t>
  </si>
  <si>
    <t>davon Entsorgungskosten Altreifen</t>
  </si>
  <si>
    <t>6.7.14</t>
  </si>
  <si>
    <t>6.7.15</t>
  </si>
  <si>
    <t>Offene Fragen:</t>
  </si>
  <si>
    <t>Ansprechpartner</t>
  </si>
  <si>
    <t>Dezentrale Sammelstelle</t>
  </si>
  <si>
    <t>Einwohner mit Hauptwohnsitz im Einzugsgebiet</t>
  </si>
  <si>
    <t>Einwohner mit Nebenwohnsitz im Einzugsgebiet</t>
  </si>
  <si>
    <t>Fremdennächtigungen pro Jahr im Einzugsgebiet</t>
  </si>
  <si>
    <r>
      <t xml:space="preserve">Einnahmen aus dem </t>
    </r>
    <r>
      <rPr>
        <b/>
        <sz val="10"/>
        <rFont val="Arial"/>
        <family val="2"/>
      </rPr>
      <t>Nutzungsentgelt</t>
    </r>
    <r>
      <rPr>
        <sz val="10"/>
        <rFont val="Arial"/>
        <family val="2"/>
      </rPr>
      <t xml:space="preserve"> durch </t>
    </r>
    <r>
      <rPr>
        <b/>
        <sz val="10"/>
        <rFont val="Arial"/>
        <family val="2"/>
      </rPr>
      <t>Gemeindekooperation:</t>
    </r>
    <r>
      <rPr>
        <sz val="10"/>
        <rFont val="Arial"/>
        <family val="2"/>
      </rPr>
      <t xml:space="preserve"> hier sind die Einnahmen für die Betreiber-Gemeinde aufzuführen, die sich aus der</t>
    </r>
  </si>
  <si>
    <t>Einnahmen durch Nutzungsentgelt bei Gemeindekoop.</t>
  </si>
  <si>
    <r>
      <t xml:space="preserve">Erlöse/Einnahmen Standplatzreinigung: </t>
    </r>
    <r>
      <rPr>
        <sz val="10"/>
        <rFont val="Arial"/>
        <family val="2"/>
      </rPr>
      <t>evtl. Erlöse/Einnahmen für die Reinigung von haushaltsnahen und dezentralen Abfallsammelplätzen</t>
    </r>
  </si>
  <si>
    <t>Menge Elektro- und Elektroaltgeräte (Gr. 1, 2, 3, 4 und 5)</t>
  </si>
  <si>
    <t>Gruppe 4: Gasentladungslampen, Leuchtstoffröhren (Energiesparlampen, Neonröhren etc.)</t>
  </si>
  <si>
    <t>Sonstige: Nachtspeicheröfen</t>
  </si>
  <si>
    <r>
      <t>Altstoffe</t>
    </r>
    <r>
      <rPr>
        <sz val="10"/>
        <rFont val="Arial"/>
        <family val="2"/>
      </rPr>
      <t xml:space="preserve"> sind: Flachglas, Kunststoff-NVP-Folien (Silofolie), Baustyropor, PVC-Bodenbeläge, Filmmaterial, CD's, Alteisen, Kabelschrott, Nichteisen-Metalle, </t>
    </r>
  </si>
  <si>
    <r>
      <t>Sonstige Abfälle</t>
    </r>
    <r>
      <rPr>
        <sz val="10"/>
        <rFont val="Arial"/>
        <family val="0"/>
      </rPr>
      <t xml:space="preserve"> sind: Sperrmüll, ungefährliche medizinische Abfälle, Injektionsnadeln, mineralischer Bauschutt, Baurestmassen, Altholz</t>
    </r>
  </si>
  <si>
    <t>bekämpfungs- und Pflanzenschutzmittel, Labor u. Chemikalienreste, Fotochemikalien, Spraydosen mit Restinhalt, Altlacke u. -farben,</t>
  </si>
  <si>
    <t>Altmedikamente, KFZ-Starterbatterien, Konsumbatterien, Autowracks</t>
  </si>
  <si>
    <t>Gruppe 3: Informations- und Telekommunikationsgeräte, Unterhaltungselektronik, Bildschirmgeräte (PC, Drucker, Stereoanlage, Bildschirme, Monitore etc.)</t>
  </si>
  <si>
    <t>Gruppe 2: Kühlgeräte, Klimageräte, Ölradiatoren etc.</t>
  </si>
  <si>
    <r>
      <t xml:space="preserve">Sammelkosten </t>
    </r>
    <r>
      <rPr>
        <i/>
        <sz val="10"/>
        <color indexed="12"/>
        <rFont val="Arial"/>
        <family val="2"/>
      </rPr>
      <t>(Eingabe, wenn separat ausweisbar)</t>
    </r>
  </si>
  <si>
    <r>
      <t xml:space="preserve">Behandlungskosten </t>
    </r>
    <r>
      <rPr>
        <i/>
        <sz val="10"/>
        <color indexed="12"/>
        <rFont val="Arial"/>
        <family val="2"/>
      </rPr>
      <t>(Eingabe, wenn separat ausweisbar)</t>
    </r>
  </si>
  <si>
    <t>Gesamtkosten (Eingabe, sofern eine pauschale Verrechnung der Kosten erfolgt)</t>
  </si>
  <si>
    <r>
      <t>Gesamtkosten</t>
    </r>
    <r>
      <rPr>
        <i/>
        <sz val="10"/>
        <color indexed="12"/>
        <rFont val="Arial"/>
        <family val="2"/>
      </rPr>
      <t xml:space="preserve"> (errechnet aus Angabe 2.3.1 und 2.3.2)</t>
    </r>
  </si>
  <si>
    <r>
      <t xml:space="preserve">Sammelkosten Sperrmüll und Altholz </t>
    </r>
    <r>
      <rPr>
        <i/>
        <sz val="10"/>
        <color indexed="12"/>
        <rFont val="Arial"/>
        <family val="2"/>
      </rPr>
      <t>(Eingabe, wenn separat ausweisbar)</t>
    </r>
  </si>
  <si>
    <r>
      <t xml:space="preserve">Behandlungskosten Sperrmüll und Altholz </t>
    </r>
    <r>
      <rPr>
        <i/>
        <sz val="10"/>
        <color indexed="12"/>
        <rFont val="Arial"/>
        <family val="2"/>
      </rPr>
      <t>(Eingabe, wenn separat ausweisbar)</t>
    </r>
  </si>
  <si>
    <r>
      <t xml:space="preserve">Gesamtkosten Sperrmüll und Altholz </t>
    </r>
    <r>
      <rPr>
        <i/>
        <sz val="10"/>
        <color indexed="12"/>
        <rFont val="Arial"/>
        <family val="2"/>
      </rPr>
      <t>(errechnet aus Angabe 3.3.1 und 3.3.2)</t>
    </r>
  </si>
  <si>
    <r>
      <t>Abholung auf Bestellung</t>
    </r>
    <r>
      <rPr>
        <b/>
        <i/>
        <sz val="10"/>
        <color indexed="12"/>
        <rFont val="Arial"/>
        <family val="2"/>
      </rPr>
      <t xml:space="preserve"> [weiter unter 3.2]</t>
    </r>
  </si>
  <si>
    <r>
      <t xml:space="preserve">Einsammlung von der Straße nach Terminankündigung  </t>
    </r>
    <r>
      <rPr>
        <b/>
        <i/>
        <sz val="10"/>
        <color indexed="12"/>
        <rFont val="Arial"/>
        <family val="2"/>
      </rPr>
      <t>[weiter unter 3.2]</t>
    </r>
  </si>
  <si>
    <r>
      <t>Kosten für die Sperrmüllerfassung</t>
    </r>
    <r>
      <rPr>
        <sz val="10"/>
        <rFont val="Arial"/>
        <family val="2"/>
      </rPr>
      <t xml:space="preserve"> (inkl. evtl. Kosten sep. Altholzerfassung; </t>
    </r>
    <r>
      <rPr>
        <b/>
        <i/>
        <sz val="10"/>
        <color indexed="12"/>
        <rFont val="Arial"/>
        <family val="2"/>
      </rPr>
      <t>Achtung: Angaben nur für die Erfassung außerhalb des ASZ</t>
    </r>
    <r>
      <rPr>
        <sz val="10"/>
        <rFont val="Arial"/>
        <family val="2"/>
      </rPr>
      <t>)</t>
    </r>
  </si>
  <si>
    <r>
      <t>ausschließlich</t>
    </r>
    <r>
      <rPr>
        <sz val="10"/>
        <rFont val="Arial"/>
        <family val="2"/>
      </rPr>
      <t xml:space="preserve"> Anlieferung des Sperrmülls an das ASZ möglich </t>
    </r>
    <r>
      <rPr>
        <b/>
        <i/>
        <sz val="10"/>
        <color indexed="12"/>
        <rFont val="Arial"/>
        <family val="2"/>
      </rPr>
      <t>[=&gt; Beantwortung Sperrmüll und Altholz ausschließlich in Kap. 6 vornehmen]</t>
    </r>
  </si>
  <si>
    <r>
      <t>Gesamtkosten</t>
    </r>
    <r>
      <rPr>
        <i/>
        <sz val="10"/>
        <color indexed="12"/>
        <rFont val="Arial"/>
        <family val="2"/>
      </rPr>
      <t xml:space="preserve"> (errechnet aus Angabe 4.3.1 und 4.3.2)</t>
    </r>
  </si>
  <si>
    <t>(Bezug: teilnehmende Einwohner)</t>
  </si>
  <si>
    <r>
      <t>Gesamtkosten</t>
    </r>
    <r>
      <rPr>
        <i/>
        <sz val="10"/>
        <color indexed="12"/>
        <rFont val="Arial"/>
        <family val="2"/>
      </rPr>
      <t xml:space="preserve"> (errechnet aus Angabe 5.3.1 und 5.3.2)</t>
    </r>
  </si>
  <si>
    <t>(nach Abzug der erzielten Erlöse)</t>
  </si>
  <si>
    <t xml:space="preserve">Öffnungszeiten </t>
  </si>
  <si>
    <t xml:space="preserve">Personalstunden </t>
  </si>
  <si>
    <t xml:space="preserve">Anlieferungen  </t>
  </si>
  <si>
    <r>
      <t>Zusatzabfage</t>
    </r>
    <r>
      <rPr>
        <sz val="10"/>
        <rFont val="Arial"/>
        <family val="2"/>
      </rPr>
      <t xml:space="preserve"> zu sep. Sammelpl. für biogene Abfälle</t>
    </r>
  </si>
  <si>
    <t xml:space="preserve">Menge biogene Abfälle </t>
  </si>
  <si>
    <t xml:space="preserve">Personalkosten </t>
  </si>
  <si>
    <t xml:space="preserve">Betriebskosten </t>
  </si>
  <si>
    <t xml:space="preserve">Entsorgungskosten </t>
  </si>
  <si>
    <t>Nachsorgekosten (f. geschl. Dep.)</t>
  </si>
  <si>
    <r>
      <t xml:space="preserve">Gesamtkosten: </t>
    </r>
    <r>
      <rPr>
        <sz val="10"/>
        <rFont val="Arial"/>
        <family val="2"/>
      </rPr>
      <t>sofern Sie Sammelkosten und Behandlungskosten in den vorangestellten Abfragen separat ausweisen können, wird dieser Wert auto-</t>
    </r>
  </si>
  <si>
    <t xml:space="preserve">matisiert errechnet. Sofern keine Differenzierung möglich ist, da Sie beispielsweise eine pauschale Verrechnung mit dem beauftragten Abfuhrunternehmen </t>
  </si>
  <si>
    <t>vereinbart haben, bitte den Gesamt(Pauschal)betrag angeben.</t>
  </si>
  <si>
    <t xml:space="preserve"> 4.3.3</t>
  </si>
  <si>
    <t>auch Kosten für Aus- und Weiterbildungskosten (inkl. Kilometergeld) des ASZ-Personals berücksichtigen.</t>
  </si>
  <si>
    <r>
      <t>Übernahme an vorübergehenden Sammelplätzen</t>
    </r>
    <r>
      <rPr>
        <b/>
        <i/>
        <sz val="10"/>
        <color indexed="12"/>
        <rFont val="Arial"/>
        <family val="2"/>
      </rPr>
      <t xml:space="preserve"> [weiter unter 3.2]</t>
    </r>
  </si>
  <si>
    <t>separate Sammelpl. (biog. Abf.)</t>
  </si>
  <si>
    <t xml:space="preserve">Siedlungsabfälle sind Abfälle aus privaten Haushalten und andere Abfälle, die aufgrund ihrer Beschaffenheit und Zusammensetzung </t>
  </si>
  <si>
    <r>
      <t xml:space="preserve">diesen ähneln. </t>
    </r>
    <r>
      <rPr>
        <b/>
        <sz val="10"/>
        <rFont val="Arial"/>
        <family val="2"/>
      </rPr>
      <t xml:space="preserve">Bioabfall: getrennt zu sammelnde </t>
    </r>
    <r>
      <rPr>
        <sz val="10"/>
        <rFont val="Arial"/>
        <family val="2"/>
      </rPr>
      <t xml:space="preserve">biogene </t>
    </r>
    <r>
      <rPr>
        <sz val="10"/>
        <rFont val="Arial"/>
        <family val="0"/>
      </rPr>
      <t xml:space="preserve">Siedlungsabfälle (kompostierbare Siedlungsabfälle wie z. B. Küchen-, </t>
    </r>
  </si>
  <si>
    <t>Altpapier gemischt, Speisefett u. Speiseöle, Altreifen, Textilien, Schuhe, Korkwaren</t>
  </si>
  <si>
    <r>
      <t>Personalkosten:</t>
    </r>
    <r>
      <rPr>
        <sz val="10"/>
        <rFont val="Arial"/>
        <family val="0"/>
      </rPr>
      <t xml:space="preserve"> Kosten für das Personal für die Betreuung der Annahme inkl. vor- und nachgeschalteter Rüstzeiten; ohne Entsorgungsleistungen; </t>
    </r>
  </si>
  <si>
    <t>Nutzung des ASZ durch eine/mehrere andere Gemeinde/n ergeben.</t>
  </si>
  <si>
    <t>Abfallwirtschaft (wie z. B. Projekt NAWIG, Arbeitstreffen Amt der Stmk. LR FA 19D,  etc.), Kilometergeld/Fahrtkosten/Diäten, Fremdleistungen</t>
  </si>
  <si>
    <t>Restabfall (gemischter Siedlungsabfall)</t>
  </si>
  <si>
    <t>Restabfall (gem. Siedlungsabfälle)</t>
  </si>
  <si>
    <t>Restabfall</t>
  </si>
  <si>
    <t>Restabfall (gemischter Siedlungsabfall; Sammelsysteme außerhalb des ASZ)</t>
  </si>
  <si>
    <t>Erfasste Restabfallmenge/-tonnage aus den oben genannten Sammelsystemen</t>
  </si>
  <si>
    <t>Kosten für die Restabfallerfassung</t>
  </si>
  <si>
    <t>Steirischer Abfallspiegel - Kennzahlen Restabfall</t>
  </si>
  <si>
    <t>2. Restabfall</t>
  </si>
  <si>
    <t xml:space="preserve">diesen ähneln. Restabfall: gemischer Siedlungsabfall, das ist jener Teil der nicht gefährlichen Siedlungsabfälle, der weder Altstoffe, </t>
  </si>
  <si>
    <t xml:space="preserve">Sammelkosten: Kosten für der Sammlung der unter 2.2 angegebenen Restabfallmengen (ohne ASZ). Die Sammelkosten beinhalten die reinen </t>
  </si>
  <si>
    <t>Behandlungskosten: Kosten für die Behandlung der unter 2.2. angegebenen Restabfallmengen (ohne ASZ)</t>
  </si>
  <si>
    <t>diesen ähneln. Sperrmüll: sperriger Siedlungsabfall (Sperrmüll, der wegen seiner Beschaffenheit weder in die bereitgestellten Restabfallbehältnisse noch</t>
  </si>
  <si>
    <r>
      <t xml:space="preserve">reinigung, Straßenkehricht, Nachsorge für geschlossene Deponien, Rückstellungen für Ersatzinvestitionen </t>
    </r>
    <r>
      <rPr>
        <sz val="10"/>
        <rFont val="Arial"/>
        <family val="2"/>
      </rPr>
      <t>und</t>
    </r>
    <r>
      <rPr>
        <b/>
        <sz val="10"/>
        <rFont val="Arial"/>
        <family val="2"/>
      </rPr>
      <t xml:space="preserve"> Verwaltung. </t>
    </r>
  </si>
  <si>
    <t>Rücklagen für Ersatzinvestitionen</t>
  </si>
  <si>
    <r>
      <t>Kosten für Rücklagen für Ersatzinvestitionen:</t>
    </r>
    <r>
      <rPr>
        <sz val="10"/>
        <rFont val="Arial"/>
        <family val="0"/>
      </rPr>
      <t xml:space="preserve"> Kosten für Rücklagen für geplante Ersatzinvestitionen (Neubauten, Ausbau Infrastruktur etc.) </t>
    </r>
  </si>
  <si>
    <t>Außenanlagen, inkl. Verbrauchsgüter (Werkzeug, Besen, Handschuhe, Ölbindemittel, Sammelsäcke etc.)), ohne Personalkosten (da differenzierte Abfrage).</t>
  </si>
  <si>
    <r>
      <t xml:space="preserve">Betriebskosten: </t>
    </r>
    <r>
      <rPr>
        <sz val="10"/>
        <rFont val="Arial"/>
        <family val="2"/>
      </rPr>
      <t>Kosten für den Betrieb des ASZ (inkl. Nebenkosten für Strom, Wasser, Heizung etc., Kosten für Instandhaltung und Unterhaltung der</t>
    </r>
  </si>
  <si>
    <r>
      <t xml:space="preserve">Kapitalkosten: </t>
    </r>
    <r>
      <rPr>
        <sz val="10"/>
        <rFont val="Arial"/>
        <family val="2"/>
      </rPr>
      <t>anteilige Kapitalkosten für Gelände, Gebäude und Standortausstattung - Abschreibungen und Zinsendienst</t>
    </r>
  </si>
  <si>
    <r>
      <t xml:space="preserve">(weiter mit </t>
    </r>
    <r>
      <rPr>
        <b/>
        <sz val="8"/>
        <rFont val="Arial"/>
        <family val="2"/>
      </rPr>
      <t>6.8</t>
    </r>
    <r>
      <rPr>
        <sz val="8"/>
        <rFont val="Arial"/>
        <family val="0"/>
      </rPr>
      <t>)</t>
    </r>
  </si>
  <si>
    <r>
      <t xml:space="preserve">die Gemeinde hat kein eigenes ASZ; dem Bürger stehen nur vorübergehende Sammelstellen oder die mobile Sammlung zur Verfügung. (zurück zu </t>
    </r>
    <r>
      <rPr>
        <b/>
        <sz val="10"/>
        <rFont val="Arial"/>
        <family val="2"/>
      </rPr>
      <t>3.2</t>
    </r>
    <r>
      <rPr>
        <sz val="10"/>
        <rFont val="Arial"/>
        <family val="0"/>
      </rPr>
      <t xml:space="preserve">) </t>
    </r>
  </si>
  <si>
    <t>6.1.4</t>
  </si>
  <si>
    <t>6.7.16</t>
  </si>
  <si>
    <t xml:space="preserve">Kapitalkosten </t>
  </si>
  <si>
    <t>Kapitalkosten - Abschreibungen und Zinsendienst</t>
  </si>
  <si>
    <t>(Angaben zur Erfassung von Sperrmüll und sonstigen Fraktionen über ein ASZ sind parallel in Kap. 6 anzugeben)</t>
  </si>
  <si>
    <r>
      <t xml:space="preserve">Abfrage zum Sammelsystem Sperrmüll </t>
    </r>
    <r>
      <rPr>
        <i/>
        <sz val="10"/>
        <color indexed="12"/>
        <rFont val="Arial"/>
        <family val="2"/>
      </rPr>
      <t>(außerhalb des ASZ; bitte ankreuzen)</t>
    </r>
  </si>
  <si>
    <r>
      <t xml:space="preserve">Erfasste Mengen/Tonnage Sperrmüll </t>
    </r>
    <r>
      <rPr>
        <i/>
        <sz val="10"/>
        <color indexed="12"/>
        <rFont val="Arial"/>
        <family val="2"/>
      </rPr>
      <t>(</t>
    </r>
    <r>
      <rPr>
        <b/>
        <i/>
        <sz val="10"/>
        <color indexed="12"/>
        <rFont val="Arial"/>
        <family val="2"/>
      </rPr>
      <t>Achtung: Angaben nur für die Erfassung außerhalb des ASZ</t>
    </r>
    <r>
      <rPr>
        <i/>
        <sz val="10"/>
        <color indexed="12"/>
        <rFont val="Arial"/>
        <family val="2"/>
      </rPr>
      <t>)</t>
    </r>
  </si>
  <si>
    <t>3.4</t>
  </si>
  <si>
    <t>Sammelkosten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</si>
</sst>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quot;"/>
    <numFmt numFmtId="173" formatCode="#\ &quot;l&quot;"/>
    <numFmt numFmtId="174" formatCode="#,##0.0"/>
    <numFmt numFmtId="175" formatCode="0.000000"/>
    <numFmt numFmtId="176" formatCode="0.00000"/>
    <numFmt numFmtId="177" formatCode="0.0000"/>
    <numFmt numFmtId="178" formatCode="0.000"/>
    <numFmt numFmtId="179" formatCode="0.0"/>
    <numFmt numFmtId="180" formatCode="0.0000000"/>
    <numFmt numFmtId="181" formatCode="&quot;Seite&quot;\ #"/>
    <numFmt numFmtId="182" formatCode="0.000000000"/>
    <numFmt numFmtId="183" formatCode="0.00000000"/>
  </numFmts>
  <fonts count="29">
    <font>
      <sz val="10"/>
      <name val="Arial"/>
      <family val="0"/>
    </font>
    <font>
      <sz val="8"/>
      <name val="Arial"/>
      <family val="0"/>
    </font>
    <font>
      <b/>
      <sz val="10"/>
      <name val="Arial"/>
      <family val="2"/>
    </font>
    <font>
      <b/>
      <sz val="8"/>
      <name val="Tahoma"/>
      <family val="0"/>
    </font>
    <font>
      <b/>
      <sz val="12"/>
      <name val="Arial"/>
      <family val="2"/>
    </font>
    <font>
      <i/>
      <sz val="10"/>
      <color indexed="12"/>
      <name val="Arial"/>
      <family val="2"/>
    </font>
    <font>
      <i/>
      <sz val="10"/>
      <color indexed="10"/>
      <name val="Arial"/>
      <family val="2"/>
    </font>
    <font>
      <b/>
      <i/>
      <sz val="10"/>
      <color indexed="10"/>
      <name val="Arial"/>
      <family val="2"/>
    </font>
    <font>
      <sz val="8"/>
      <color indexed="9"/>
      <name val="Arial"/>
      <family val="2"/>
    </font>
    <font>
      <u val="single"/>
      <sz val="10"/>
      <color indexed="12"/>
      <name val="Arial"/>
      <family val="0"/>
    </font>
    <font>
      <b/>
      <sz val="12"/>
      <color indexed="12"/>
      <name val="Arial"/>
      <family val="2"/>
    </font>
    <font>
      <i/>
      <sz val="10"/>
      <name val="Arial"/>
      <family val="2"/>
    </font>
    <font>
      <b/>
      <sz val="10"/>
      <color indexed="10"/>
      <name val="Arial"/>
      <family val="2"/>
    </font>
    <font>
      <b/>
      <u val="single"/>
      <sz val="12"/>
      <name val="Arial"/>
      <family val="2"/>
    </font>
    <font>
      <b/>
      <u val="single"/>
      <sz val="10"/>
      <name val="Arial"/>
      <family val="2"/>
    </font>
    <font>
      <sz val="10"/>
      <color indexed="12"/>
      <name val="Arial"/>
      <family val="2"/>
    </font>
    <font>
      <sz val="12"/>
      <name val="Arial"/>
      <family val="2"/>
    </font>
    <font>
      <sz val="10"/>
      <color indexed="8"/>
      <name val="Arial"/>
      <family val="0"/>
    </font>
    <font>
      <b/>
      <sz val="10"/>
      <color indexed="8"/>
      <name val="Arial"/>
      <family val="2"/>
    </font>
    <font>
      <sz val="14"/>
      <color indexed="8"/>
      <name val="Arial"/>
      <family val="2"/>
    </font>
    <font>
      <sz val="11"/>
      <color indexed="8"/>
      <name val="Arial"/>
      <family val="2"/>
    </font>
    <font>
      <sz val="12"/>
      <color indexed="8"/>
      <name val="Arial"/>
      <family val="2"/>
    </font>
    <font>
      <u val="single"/>
      <sz val="11"/>
      <color indexed="8"/>
      <name val="Arial"/>
      <family val="2"/>
    </font>
    <font>
      <sz val="8"/>
      <name val="Tahoma"/>
      <family val="0"/>
    </font>
    <font>
      <b/>
      <i/>
      <sz val="10"/>
      <color indexed="12"/>
      <name val="Arial"/>
      <family val="2"/>
    </font>
    <font>
      <b/>
      <sz val="26"/>
      <name val="Arial"/>
      <family val="0"/>
    </font>
    <font>
      <b/>
      <sz val="20"/>
      <name val="Arial"/>
      <family val="2"/>
    </font>
    <font>
      <sz val="20"/>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s>
  <borders count="31">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thin"/>
      <right style="double"/>
      <top style="thin"/>
      <bottom style="thin"/>
    </border>
    <border>
      <left style="double"/>
      <right style="double"/>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3">
    <xf numFmtId="0" fontId="0" fillId="0" borderId="0" xfId="0" applyAlignment="1">
      <alignment/>
    </xf>
    <xf numFmtId="0" fontId="0" fillId="0" borderId="0" xfId="0" applyAlignment="1" applyProtection="1">
      <alignment vertical="center"/>
      <protection/>
    </xf>
    <xf numFmtId="49" fontId="0" fillId="0" borderId="0" xfId="0" applyNumberFormat="1" applyAlignment="1" applyProtection="1">
      <alignment horizontal="left" vertical="center"/>
      <protection/>
    </xf>
    <xf numFmtId="0" fontId="2" fillId="0" borderId="0" xfId="0" applyFont="1" applyAlignment="1" applyProtection="1">
      <alignment vertical="center"/>
      <protection/>
    </xf>
    <xf numFmtId="0" fontId="0" fillId="2" borderId="1" xfId="0" applyFill="1" applyBorder="1" applyAlignment="1" applyProtection="1">
      <alignment vertical="center"/>
      <protection/>
    </xf>
    <xf numFmtId="0" fontId="0" fillId="2" borderId="2" xfId="0" applyFill="1" applyBorder="1" applyAlignment="1" applyProtection="1">
      <alignment vertical="center"/>
      <protection/>
    </xf>
    <xf numFmtId="49" fontId="2" fillId="2" borderId="3" xfId="0" applyNumberFormat="1" applyFont="1" applyFill="1" applyBorder="1" applyAlignment="1" applyProtection="1">
      <alignment horizontal="left" vertical="center"/>
      <protection/>
    </xf>
    <xf numFmtId="0" fontId="0" fillId="2" borderId="0" xfId="0" applyFill="1" applyBorder="1" applyAlignment="1" applyProtection="1">
      <alignment vertical="center"/>
      <protection/>
    </xf>
    <xf numFmtId="0" fontId="0" fillId="2" borderId="4" xfId="0" applyFill="1" applyBorder="1" applyAlignment="1" applyProtection="1">
      <alignment vertical="center"/>
      <protection/>
    </xf>
    <xf numFmtId="49" fontId="4" fillId="2" borderId="3" xfId="0" applyNumberFormat="1"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49" fontId="0" fillId="2" borderId="3" xfId="0" applyNumberFormat="1" applyFill="1" applyBorder="1" applyAlignment="1" applyProtection="1">
      <alignment horizontal="left" vertical="center"/>
      <protection/>
    </xf>
    <xf numFmtId="0" fontId="2"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5" xfId="0" applyFill="1" applyBorder="1" applyAlignment="1" applyProtection="1">
      <alignment horizontal="center" vertical="center"/>
      <protection/>
    </xf>
    <xf numFmtId="0" fontId="5" fillId="2" borderId="0" xfId="0" applyFont="1" applyFill="1" applyBorder="1" applyAlignment="1" applyProtection="1">
      <alignment vertical="center"/>
      <protection/>
    </xf>
    <xf numFmtId="49" fontId="0" fillId="2" borderId="3" xfId="0" applyNumberFormat="1" applyFont="1" applyFill="1" applyBorder="1" applyAlignment="1" applyProtection="1">
      <alignment horizontal="left" vertical="center"/>
      <protection/>
    </xf>
    <xf numFmtId="0" fontId="0" fillId="2" borderId="0" xfId="0" applyFill="1" applyBorder="1" applyAlignment="1" applyProtection="1">
      <alignment horizontal="right" vertical="center"/>
      <protection/>
    </xf>
    <xf numFmtId="49" fontId="0" fillId="2" borderId="6" xfId="0" applyNumberFormat="1" applyFill="1" applyBorder="1" applyAlignment="1" applyProtection="1">
      <alignment horizontal="left" vertical="center"/>
      <protection/>
    </xf>
    <xf numFmtId="0" fontId="0" fillId="2" borderId="7" xfId="0" applyFill="1" applyBorder="1" applyAlignment="1" applyProtection="1">
      <alignment vertical="center"/>
      <protection/>
    </xf>
    <xf numFmtId="0" fontId="0" fillId="2" borderId="8" xfId="0" applyFill="1" applyBorder="1" applyAlignment="1" applyProtection="1">
      <alignment vertical="center"/>
      <protection/>
    </xf>
    <xf numFmtId="0" fontId="2" fillId="2" borderId="0" xfId="0" applyFont="1" applyFill="1" applyBorder="1" applyAlignment="1" applyProtection="1">
      <alignment horizontal="left" vertical="center"/>
      <protection/>
    </xf>
    <xf numFmtId="0" fontId="0" fillId="2" borderId="9" xfId="0" applyFill="1" applyBorder="1" applyAlignment="1" applyProtection="1">
      <alignment horizontal="center" vertical="center" wrapText="1"/>
      <protection/>
    </xf>
    <xf numFmtId="0" fontId="0" fillId="2" borderId="10" xfId="0" applyFill="1" applyBorder="1" applyAlignment="1" applyProtection="1">
      <alignment horizontal="centerContinuous" vertical="center"/>
      <protection/>
    </xf>
    <xf numFmtId="0" fontId="0" fillId="2" borderId="11" xfId="0" applyFill="1" applyBorder="1" applyAlignment="1" applyProtection="1">
      <alignment horizontal="centerContinuous" vertical="center"/>
      <protection/>
    </xf>
    <xf numFmtId="0" fontId="0" fillId="2" borderId="12" xfId="0" applyFill="1" applyBorder="1" applyAlignment="1" applyProtection="1">
      <alignment horizontal="centerContinuous" vertical="center"/>
      <protection/>
    </xf>
    <xf numFmtId="0" fontId="0" fillId="2" borderId="13" xfId="0" applyFill="1" applyBorder="1" applyAlignment="1" applyProtection="1">
      <alignment vertical="center" wrapText="1"/>
      <protection/>
    </xf>
    <xf numFmtId="0" fontId="0" fillId="2" borderId="13" xfId="0" applyFill="1" applyBorder="1" applyAlignment="1" applyProtection="1">
      <alignment vertical="center"/>
      <protection/>
    </xf>
    <xf numFmtId="172" fontId="0" fillId="2" borderId="5" xfId="0" applyNumberFormat="1" applyFill="1" applyBorder="1" applyAlignment="1" applyProtection="1">
      <alignment vertical="center"/>
      <protection/>
    </xf>
    <xf numFmtId="0" fontId="4" fillId="2" borderId="14" xfId="0" applyNumberFormat="1" applyFont="1" applyFill="1" applyBorder="1" applyAlignment="1" applyProtection="1">
      <alignment horizontal="left" vertical="center"/>
      <protection/>
    </xf>
    <xf numFmtId="3" fontId="0" fillId="0" borderId="0" xfId="0" applyNumberFormat="1" applyAlignment="1" applyProtection="1">
      <alignment vertical="center"/>
      <protection/>
    </xf>
    <xf numFmtId="3" fontId="2" fillId="0" borderId="0" xfId="0" applyNumberFormat="1" applyFont="1" applyAlignment="1" applyProtection="1">
      <alignment vertical="center"/>
      <protection/>
    </xf>
    <xf numFmtId="4" fontId="0" fillId="0" borderId="0" xfId="0" applyNumberFormat="1" applyAlignment="1" applyProtection="1">
      <alignment vertical="center"/>
      <protection/>
    </xf>
    <xf numFmtId="0" fontId="6" fillId="0" borderId="0" xfId="0" applyFont="1" applyAlignment="1" applyProtection="1">
      <alignment vertical="center"/>
      <protection/>
    </xf>
    <xf numFmtId="0" fontId="0" fillId="3" borderId="5" xfId="0" applyFill="1" applyBorder="1" applyAlignment="1" applyProtection="1">
      <alignment horizontal="center" vertical="center"/>
      <protection locked="0"/>
    </xf>
    <xf numFmtId="3" fontId="0" fillId="3" borderId="5" xfId="0" applyNumberFormat="1" applyFill="1" applyBorder="1" applyAlignment="1" applyProtection="1">
      <alignment horizontal="center" vertical="center"/>
      <protection locked="0"/>
    </xf>
    <xf numFmtId="0" fontId="0" fillId="3" borderId="5" xfId="0" applyFill="1" applyBorder="1" applyAlignment="1" applyProtection="1">
      <alignment vertical="center"/>
      <protection locked="0"/>
    </xf>
    <xf numFmtId="172" fontId="0" fillId="3" borderId="5" xfId="0" applyNumberFormat="1" applyFill="1" applyBorder="1" applyAlignment="1" applyProtection="1">
      <alignment horizontal="right" vertical="center"/>
      <protection locked="0"/>
    </xf>
    <xf numFmtId="3" fontId="0" fillId="3" borderId="5" xfId="0" applyNumberFormat="1" applyFill="1" applyBorder="1" applyAlignment="1" applyProtection="1">
      <alignment horizontal="right" vertical="center"/>
      <protection locked="0"/>
    </xf>
    <xf numFmtId="4" fontId="0" fillId="3" borderId="5" xfId="0" applyNumberFormat="1" applyFill="1" applyBorder="1" applyAlignment="1" applyProtection="1">
      <alignment horizontal="right" vertical="center"/>
      <protection locked="0"/>
    </xf>
    <xf numFmtId="0" fontId="2" fillId="0" borderId="0" xfId="0" applyFont="1" applyAlignment="1" applyProtection="1">
      <alignment vertical="center"/>
      <protection hidden="1"/>
    </xf>
    <xf numFmtId="0" fontId="0" fillId="4" borderId="0" xfId="0" applyFill="1" applyAlignment="1" applyProtection="1">
      <alignment vertical="center"/>
      <protection/>
    </xf>
    <xf numFmtId="0" fontId="0" fillId="4" borderId="0" xfId="0" applyFill="1" applyAlignment="1" applyProtection="1">
      <alignment horizontal="center" vertical="center"/>
      <protection/>
    </xf>
    <xf numFmtId="0" fontId="0" fillId="5" borderId="0" xfId="0" applyFill="1" applyAlignment="1" applyProtection="1">
      <alignment vertical="center"/>
      <protection/>
    </xf>
    <xf numFmtId="0" fontId="4" fillId="2" borderId="14"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2" fillId="2" borderId="3" xfId="0" applyFont="1"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3" xfId="0" applyFill="1" applyBorder="1" applyAlignment="1">
      <alignment/>
    </xf>
    <xf numFmtId="0" fontId="0" fillId="3" borderId="0" xfId="0" applyFill="1" applyBorder="1" applyAlignment="1">
      <alignment/>
    </xf>
    <xf numFmtId="0" fontId="0" fillId="3" borderId="4" xfId="0" applyFill="1" applyBorder="1" applyAlignment="1">
      <alignment/>
    </xf>
    <xf numFmtId="0" fontId="0" fillId="3" borderId="7" xfId="0" applyFill="1" applyBorder="1" applyAlignment="1">
      <alignment/>
    </xf>
    <xf numFmtId="0" fontId="0" fillId="3" borderId="8" xfId="0" applyFill="1" applyBorder="1" applyAlignment="1">
      <alignment/>
    </xf>
    <xf numFmtId="49" fontId="0" fillId="3" borderId="15" xfId="0" applyNumberFormat="1" applyFill="1" applyBorder="1" applyAlignment="1">
      <alignment horizontal="center"/>
    </xf>
    <xf numFmtId="0" fontId="0" fillId="3" borderId="15" xfId="0" applyFill="1" applyBorder="1" applyAlignment="1">
      <alignment horizontal="center"/>
    </xf>
    <xf numFmtId="0" fontId="0" fillId="3" borderId="13" xfId="0" applyFill="1" applyBorder="1" applyAlignment="1">
      <alignment horizontal="center"/>
    </xf>
    <xf numFmtId="0" fontId="0" fillId="0" borderId="0" xfId="0" applyNumberFormat="1" applyAlignment="1">
      <alignment/>
    </xf>
    <xf numFmtId="0" fontId="0" fillId="3" borderId="0" xfId="0" applyNumberFormat="1" applyFill="1" applyBorder="1" applyAlignment="1">
      <alignment/>
    </xf>
    <xf numFmtId="0" fontId="2" fillId="3" borderId="0" xfId="0" applyFont="1" applyFill="1" applyBorder="1" applyAlignment="1">
      <alignment/>
    </xf>
    <xf numFmtId="0" fontId="0" fillId="3" borderId="15" xfId="0" applyNumberFormat="1" applyFill="1" applyBorder="1" applyAlignment="1">
      <alignment horizontal="center"/>
    </xf>
    <xf numFmtId="0" fontId="0" fillId="6" borderId="5" xfId="0" applyFill="1" applyBorder="1" applyAlignment="1">
      <alignment horizontal="center"/>
    </xf>
    <xf numFmtId="0" fontId="0" fillId="6" borderId="11" xfId="0" applyFill="1" applyBorder="1" applyAlignment="1">
      <alignment/>
    </xf>
    <xf numFmtId="0" fontId="0" fillId="6" borderId="12" xfId="0" applyFill="1" applyBorder="1" applyAlignment="1">
      <alignment/>
    </xf>
    <xf numFmtId="0" fontId="0" fillId="2" borderId="4" xfId="0" applyFont="1" applyFill="1" applyBorder="1" applyAlignment="1" applyProtection="1">
      <alignment vertical="center"/>
      <protection/>
    </xf>
    <xf numFmtId="0" fontId="0" fillId="2" borderId="0" xfId="0" applyFont="1" applyFill="1" applyBorder="1" applyAlignment="1" applyProtection="1">
      <alignment horizontal="center" vertical="center"/>
      <protection/>
    </xf>
    <xf numFmtId="0" fontId="0" fillId="3" borderId="0" xfId="0" applyFont="1" applyFill="1" applyBorder="1" applyAlignment="1">
      <alignment/>
    </xf>
    <xf numFmtId="0" fontId="0" fillId="3" borderId="13" xfId="0" applyNumberFormat="1" applyFill="1" applyBorder="1" applyAlignment="1">
      <alignment horizontal="center"/>
    </xf>
    <xf numFmtId="0" fontId="7" fillId="2" borderId="0" xfId="0" applyFont="1" applyFill="1" applyBorder="1" applyAlignment="1" applyProtection="1">
      <alignment vertical="center"/>
      <protection/>
    </xf>
    <xf numFmtId="0" fontId="2"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181" fontId="2" fillId="2" borderId="4" xfId="0" applyNumberFormat="1" applyFont="1" applyFill="1" applyBorder="1" applyAlignment="1" applyProtection="1">
      <alignment horizontal="right" vertical="center"/>
      <protection/>
    </xf>
    <xf numFmtId="174" fontId="0" fillId="3" borderId="5" xfId="0" applyNumberFormat="1" applyFill="1" applyBorder="1" applyAlignment="1" applyProtection="1">
      <alignment vertical="center"/>
      <protection locked="0"/>
    </xf>
    <xf numFmtId="3" fontId="0" fillId="3" borderId="5" xfId="0" applyNumberFormat="1" applyFill="1" applyBorder="1" applyAlignment="1" applyProtection="1">
      <alignment vertical="center"/>
      <protection locked="0"/>
    </xf>
    <xf numFmtId="3" fontId="0" fillId="3"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protection/>
    </xf>
    <xf numFmtId="49" fontId="16" fillId="2" borderId="3" xfId="0" applyNumberFormat="1" applyFont="1" applyFill="1" applyBorder="1" applyAlignment="1" applyProtection="1">
      <alignment horizontal="left" vertical="center"/>
      <protection/>
    </xf>
    <xf numFmtId="0" fontId="16"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0" xfId="0" applyFill="1" applyBorder="1" applyAlignment="1" applyProtection="1">
      <alignment horizontal="left" vertical="center" indent="1"/>
      <protection/>
    </xf>
    <xf numFmtId="0" fontId="11" fillId="2" borderId="0" xfId="0" applyFont="1" applyFill="1" applyBorder="1" applyAlignment="1" applyProtection="1">
      <alignment horizontal="left" vertical="center" indent="1"/>
      <protection/>
    </xf>
    <xf numFmtId="0" fontId="2" fillId="3" borderId="0" xfId="0" applyNumberFormat="1" applyFont="1" applyFill="1" applyBorder="1" applyAlignment="1">
      <alignment/>
    </xf>
    <xf numFmtId="0" fontId="0" fillId="3" borderId="0" xfId="0" applyNumberFormat="1" applyFont="1" applyFill="1" applyBorder="1" applyAlignment="1">
      <alignment/>
    </xf>
    <xf numFmtId="4" fontId="0" fillId="3" borderId="5" xfId="0" applyNumberFormat="1" applyFill="1" applyBorder="1" applyAlignment="1" applyProtection="1">
      <alignment vertical="center"/>
      <protection locked="0"/>
    </xf>
    <xf numFmtId="0" fontId="0" fillId="0" borderId="0" xfId="0" applyAlignment="1" applyProtection="1">
      <alignment vertical="center"/>
      <protection hidden="1"/>
    </xf>
    <xf numFmtId="0" fontId="0" fillId="2" borderId="15" xfId="0"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2" borderId="9" xfId="0" applyFill="1" applyBorder="1" applyAlignment="1" applyProtection="1">
      <alignment horizontal="centerContinuous" vertical="center"/>
      <protection/>
    </xf>
    <xf numFmtId="0" fontId="0" fillId="2" borderId="10" xfId="0" applyFill="1" applyBorder="1" applyAlignment="1" applyProtection="1">
      <alignment vertical="center"/>
      <protection/>
    </xf>
    <xf numFmtId="0" fontId="0" fillId="2" borderId="12" xfId="0" applyFill="1" applyBorder="1" applyAlignment="1" applyProtection="1">
      <alignment vertical="center"/>
      <protection/>
    </xf>
    <xf numFmtId="0" fontId="0" fillId="2" borderId="14" xfId="0" applyFill="1" applyBorder="1" applyAlignment="1" applyProtection="1">
      <alignment vertical="center"/>
      <protection/>
    </xf>
    <xf numFmtId="0" fontId="0" fillId="2" borderId="3" xfId="0" applyFill="1" applyBorder="1" applyAlignment="1" applyProtection="1">
      <alignment vertical="center"/>
      <protection/>
    </xf>
    <xf numFmtId="0" fontId="0" fillId="2" borderId="6" xfId="0" applyFill="1" applyBorder="1" applyAlignment="1" applyProtection="1">
      <alignment vertical="center"/>
      <protection/>
    </xf>
    <xf numFmtId="0" fontId="2" fillId="2" borderId="10" xfId="0" applyFont="1" applyFill="1" applyBorder="1" applyAlignment="1" applyProtection="1">
      <alignment vertical="center"/>
      <protection/>
    </xf>
    <xf numFmtId="0" fontId="2" fillId="2" borderId="12" xfId="0" applyFont="1" applyFill="1" applyBorder="1" applyAlignment="1" applyProtection="1">
      <alignment vertical="center"/>
      <protection/>
    </xf>
    <xf numFmtId="0" fontId="2" fillId="3" borderId="0" xfId="0" applyFont="1" applyFill="1" applyBorder="1" applyAlignment="1">
      <alignment horizontal="right"/>
    </xf>
    <xf numFmtId="0" fontId="0" fillId="3" borderId="3" xfId="0" applyFill="1" applyBorder="1" applyAlignment="1">
      <alignment horizontal="center"/>
    </xf>
    <xf numFmtId="0" fontId="0" fillId="3" borderId="6" xfId="0" applyFill="1" applyBorder="1" applyAlignment="1">
      <alignment horizontal="center"/>
    </xf>
    <xf numFmtId="0" fontId="21" fillId="0" borderId="0" xfId="0" applyFont="1" applyFill="1" applyBorder="1" applyAlignment="1">
      <alignment/>
    </xf>
    <xf numFmtId="0" fontId="17" fillId="0" borderId="0" xfId="0" applyFont="1" applyFill="1" applyBorder="1" applyAlignment="1">
      <alignment/>
    </xf>
    <xf numFmtId="0" fontId="20" fillId="0" borderId="0" xfId="0" applyFont="1" applyFill="1" applyBorder="1" applyAlignment="1" applyProtection="1">
      <alignment horizontal="right"/>
      <protection locked="0"/>
    </xf>
    <xf numFmtId="0" fontId="20" fillId="0" borderId="0" xfId="0" applyFont="1" applyFill="1" applyBorder="1" applyAlignment="1">
      <alignment horizontal="right"/>
    </xf>
    <xf numFmtId="0" fontId="17" fillId="0" borderId="5" xfId="0" applyFont="1" applyFill="1" applyBorder="1" applyAlignment="1">
      <alignment/>
    </xf>
    <xf numFmtId="0" fontId="20" fillId="0" borderId="5" xfId="0" applyFont="1" applyFill="1" applyBorder="1" applyAlignment="1">
      <alignment horizontal="right"/>
    </xf>
    <xf numFmtId="0" fontId="20" fillId="0" borderId="0" xfId="0" applyFont="1" applyFill="1" applyBorder="1" applyAlignment="1">
      <alignment/>
    </xf>
    <xf numFmtId="0" fontId="22" fillId="0" borderId="0" xfId="0" applyFont="1" applyFill="1" applyBorder="1" applyAlignment="1">
      <alignment horizontal="right"/>
    </xf>
    <xf numFmtId="0" fontId="20" fillId="0" borderId="0" xfId="0" applyFont="1" applyFill="1" applyBorder="1" applyAlignment="1">
      <alignment horizontal="left"/>
    </xf>
    <xf numFmtId="0" fontId="17" fillId="2" borderId="5" xfId="0" applyFont="1" applyFill="1" applyBorder="1" applyAlignment="1">
      <alignment/>
    </xf>
    <xf numFmtId="0" fontId="18" fillId="0" borderId="14" xfId="0" applyFont="1" applyFill="1" applyBorder="1" applyAlignment="1">
      <alignment/>
    </xf>
    <xf numFmtId="0" fontId="19" fillId="0" borderId="1" xfId="0" applyFont="1" applyFill="1" applyBorder="1" applyAlignment="1">
      <alignment horizontal="centerContinuous"/>
    </xf>
    <xf numFmtId="0" fontId="20" fillId="0" borderId="1" xfId="0" applyFont="1" applyFill="1" applyBorder="1" applyAlignment="1">
      <alignment horizontal="centerContinuous"/>
    </xf>
    <xf numFmtId="0" fontId="0" fillId="3" borderId="1" xfId="0" applyFill="1" applyBorder="1" applyAlignment="1">
      <alignment/>
    </xf>
    <xf numFmtId="0" fontId="0" fillId="3" borderId="2" xfId="0" applyFill="1" applyBorder="1" applyAlignment="1">
      <alignment/>
    </xf>
    <xf numFmtId="0" fontId="18" fillId="0" borderId="3" xfId="0" applyFont="1" applyFill="1" applyBorder="1" applyAlignment="1">
      <alignment/>
    </xf>
    <xf numFmtId="0" fontId="17" fillId="0" borderId="3" xfId="0" applyFont="1" applyFill="1" applyBorder="1" applyAlignment="1">
      <alignment/>
    </xf>
    <xf numFmtId="0" fontId="0" fillId="0" borderId="0" xfId="0" applyBorder="1" applyAlignment="1">
      <alignment/>
    </xf>
    <xf numFmtId="0" fontId="21" fillId="0" borderId="3" xfId="0" applyFont="1" applyFill="1" applyBorder="1" applyAlignment="1">
      <alignment/>
    </xf>
    <xf numFmtId="49" fontId="4" fillId="7" borderId="14" xfId="0" applyNumberFormat="1" applyFont="1" applyFill="1" applyBorder="1" applyAlignment="1" applyProtection="1">
      <alignment vertical="center"/>
      <protection/>
    </xf>
    <xf numFmtId="0" fontId="0" fillId="7" borderId="1" xfId="0" applyFill="1" applyBorder="1" applyAlignment="1" applyProtection="1">
      <alignment vertical="center"/>
      <protection/>
    </xf>
    <xf numFmtId="0" fontId="2" fillId="7" borderId="1" xfId="0" applyFont="1" applyFill="1" applyBorder="1" applyAlignment="1" applyProtection="1">
      <alignment vertical="center"/>
      <protection hidden="1"/>
    </xf>
    <xf numFmtId="0" fontId="6" fillId="7" borderId="1" xfId="0" applyFont="1" applyFill="1" applyBorder="1" applyAlignment="1" applyProtection="1">
      <alignment vertical="center"/>
      <protection/>
    </xf>
    <xf numFmtId="0" fontId="0" fillId="7" borderId="2" xfId="0" applyFill="1" applyBorder="1" applyAlignment="1" applyProtection="1">
      <alignment vertical="center"/>
      <protection/>
    </xf>
    <xf numFmtId="0" fontId="0" fillId="7" borderId="3" xfId="0" applyFill="1" applyBorder="1" applyAlignment="1" applyProtection="1">
      <alignment vertical="center"/>
      <protection/>
    </xf>
    <xf numFmtId="0" fontId="0" fillId="7" borderId="0" xfId="0" applyFill="1" applyBorder="1" applyAlignment="1" applyProtection="1">
      <alignment vertical="center"/>
      <protection/>
    </xf>
    <xf numFmtId="0" fontId="2" fillId="7" borderId="0" xfId="0" applyFont="1" applyFill="1" applyBorder="1" applyAlignment="1" applyProtection="1">
      <alignment vertical="center"/>
      <protection hidden="1"/>
    </xf>
    <xf numFmtId="0" fontId="6" fillId="7" borderId="0" xfId="0" applyFont="1" applyFill="1" applyBorder="1" applyAlignment="1" applyProtection="1">
      <alignment vertical="center"/>
      <protection/>
    </xf>
    <xf numFmtId="0" fontId="0" fillId="7" borderId="4" xfId="0" applyFill="1" applyBorder="1" applyAlignment="1" applyProtection="1">
      <alignment vertical="center"/>
      <protection/>
    </xf>
    <xf numFmtId="0" fontId="0" fillId="7" borderId="0" xfId="0" applyFill="1" applyBorder="1" applyAlignment="1" applyProtection="1">
      <alignment vertical="center"/>
      <protection hidden="1"/>
    </xf>
    <xf numFmtId="0" fontId="6" fillId="7" borderId="0" xfId="0" applyFont="1" applyFill="1" applyBorder="1" applyAlignment="1" applyProtection="1">
      <alignment vertical="center"/>
      <protection hidden="1"/>
    </xf>
    <xf numFmtId="0" fontId="0" fillId="7" borderId="0" xfId="0" applyFill="1" applyAlignment="1" applyProtection="1">
      <alignment vertical="center"/>
      <protection/>
    </xf>
    <xf numFmtId="0" fontId="2" fillId="7" borderId="0" xfId="0" applyFont="1" applyFill="1" applyAlignment="1" applyProtection="1">
      <alignment vertical="center"/>
      <protection hidden="1"/>
    </xf>
    <xf numFmtId="0" fontId="0" fillId="7" borderId="0" xfId="0" applyFill="1" applyAlignment="1" applyProtection="1">
      <alignment vertical="center"/>
      <protection hidden="1"/>
    </xf>
    <xf numFmtId="0" fontId="6" fillId="7" borderId="0" xfId="0" applyFont="1" applyFill="1" applyAlignment="1" applyProtection="1">
      <alignment vertical="center"/>
      <protection hidden="1"/>
    </xf>
    <xf numFmtId="0" fontId="2" fillId="7" borderId="0" xfId="0" applyFont="1" applyFill="1" applyBorder="1" applyAlignment="1" applyProtection="1">
      <alignment vertical="center"/>
      <protection/>
    </xf>
    <xf numFmtId="179" fontId="2" fillId="7" borderId="5" xfId="0" applyNumberFormat="1"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7" fillId="7" borderId="0" xfId="0" applyFont="1" applyFill="1" applyAlignment="1" applyProtection="1">
      <alignment vertical="center"/>
      <protection hidden="1"/>
    </xf>
    <xf numFmtId="0" fontId="6" fillId="7" borderId="0" xfId="0" applyFont="1" applyFill="1" applyBorder="1" applyAlignment="1" applyProtection="1">
      <alignment vertical="top"/>
      <protection hidden="1"/>
    </xf>
    <xf numFmtId="0" fontId="0" fillId="7" borderId="6" xfId="0" applyFill="1" applyBorder="1" applyAlignment="1" applyProtection="1">
      <alignment vertical="center"/>
      <protection/>
    </xf>
    <xf numFmtId="0" fontId="0" fillId="7" borderId="7" xfId="0" applyFill="1" applyBorder="1" applyAlignment="1" applyProtection="1">
      <alignment vertical="center"/>
      <protection/>
    </xf>
    <xf numFmtId="0" fontId="2" fillId="7" borderId="7" xfId="0" applyFont="1" applyFill="1" applyBorder="1" applyAlignment="1" applyProtection="1">
      <alignment vertical="center"/>
      <protection hidden="1"/>
    </xf>
    <xf numFmtId="0" fontId="6" fillId="7" borderId="7" xfId="0" applyFont="1" applyFill="1" applyBorder="1" applyAlignment="1" applyProtection="1">
      <alignment vertical="center"/>
      <protection/>
    </xf>
    <xf numFmtId="0" fontId="0" fillId="7" borderId="8" xfId="0" applyFill="1" applyBorder="1" applyAlignment="1" applyProtection="1">
      <alignment vertical="center"/>
      <protection/>
    </xf>
    <xf numFmtId="0" fontId="20" fillId="7" borderId="5" xfId="0" applyFont="1" applyFill="1" applyBorder="1" applyAlignment="1">
      <alignment horizontal="right"/>
    </xf>
    <xf numFmtId="0" fontId="2" fillId="7" borderId="1" xfId="0" applyFont="1" applyFill="1" applyBorder="1" applyAlignment="1" applyProtection="1">
      <alignment vertical="center"/>
      <protection/>
    </xf>
    <xf numFmtId="174" fontId="2" fillId="7" borderId="5" xfId="0" applyNumberFormat="1" applyFont="1" applyFill="1" applyBorder="1" applyAlignment="1" applyProtection="1">
      <alignment vertical="center"/>
      <protection hidden="1"/>
    </xf>
    <xf numFmtId="3" fontId="2" fillId="7" borderId="5" xfId="0" applyNumberFormat="1" applyFont="1" applyFill="1" applyBorder="1" applyAlignment="1" applyProtection="1">
      <alignment vertical="center"/>
      <protection hidden="1"/>
    </xf>
    <xf numFmtId="0" fontId="2" fillId="7" borderId="7" xfId="0" applyFont="1" applyFill="1" applyBorder="1" applyAlignment="1" applyProtection="1">
      <alignment vertical="center"/>
      <protection/>
    </xf>
    <xf numFmtId="0" fontId="6" fillId="7" borderId="0" xfId="0" applyFont="1" applyFill="1" applyAlignment="1" applyProtection="1">
      <alignment vertical="center"/>
      <protection/>
    </xf>
    <xf numFmtId="0" fontId="7" fillId="7" borderId="0" xfId="0" applyFont="1" applyFill="1" applyBorder="1" applyAlignment="1" applyProtection="1">
      <alignment vertical="center"/>
      <protection/>
    </xf>
    <xf numFmtId="0" fontId="7" fillId="7" borderId="0" xfId="0" applyFont="1" applyFill="1" applyAlignment="1" applyProtection="1">
      <alignment vertical="center"/>
      <protection/>
    </xf>
    <xf numFmtId="0" fontId="6" fillId="7" borderId="0" xfId="0" applyFont="1" applyFill="1" applyBorder="1" applyAlignment="1" applyProtection="1">
      <alignment vertical="top"/>
      <protection/>
    </xf>
    <xf numFmtId="0" fontId="11" fillId="7" borderId="0" xfId="0" applyFont="1" applyFill="1" applyBorder="1" applyAlignment="1" applyProtection="1">
      <alignment vertical="center"/>
      <protection/>
    </xf>
    <xf numFmtId="179" fontId="6" fillId="7" borderId="0" xfId="0" applyNumberFormat="1" applyFont="1" applyFill="1" applyBorder="1" applyAlignment="1" applyProtection="1">
      <alignment vertical="center"/>
      <protection hidden="1"/>
    </xf>
    <xf numFmtId="179" fontId="2" fillId="7" borderId="0" xfId="0" applyNumberFormat="1" applyFont="1" applyFill="1" applyBorder="1" applyAlignment="1" applyProtection="1">
      <alignment vertical="center"/>
      <protection hidden="1"/>
    </xf>
    <xf numFmtId="2" fontId="0" fillId="7" borderId="5" xfId="0" applyNumberFormat="1" applyFill="1" applyBorder="1" applyAlignment="1" applyProtection="1">
      <alignment vertical="center"/>
      <protection/>
    </xf>
    <xf numFmtId="0" fontId="0" fillId="7" borderId="1" xfId="0" applyFill="1" applyBorder="1" applyAlignment="1" applyProtection="1">
      <alignment vertical="center"/>
      <protection hidden="1"/>
    </xf>
    <xf numFmtId="4" fontId="2" fillId="7" borderId="5" xfId="0" applyNumberFormat="1" applyFont="1" applyFill="1" applyBorder="1" applyAlignment="1" applyProtection="1">
      <alignment vertical="center"/>
      <protection hidden="1"/>
    </xf>
    <xf numFmtId="4" fontId="6" fillId="7" borderId="0" xfId="0" applyNumberFormat="1" applyFont="1" applyFill="1" applyAlignment="1" applyProtection="1">
      <alignment vertical="center"/>
      <protection hidden="1"/>
    </xf>
    <xf numFmtId="4" fontId="6" fillId="7" borderId="0" xfId="0" applyNumberFormat="1" applyFont="1" applyFill="1" applyBorder="1" applyAlignment="1" applyProtection="1">
      <alignment vertical="center"/>
      <protection hidden="1"/>
    </xf>
    <xf numFmtId="0" fontId="0" fillId="7" borderId="0" xfId="0" applyFont="1" applyFill="1" applyAlignment="1" applyProtection="1">
      <alignment vertical="center"/>
      <protection hidden="1"/>
    </xf>
    <xf numFmtId="0" fontId="0" fillId="7" borderId="0" xfId="0" applyFont="1" applyFill="1" applyBorder="1" applyAlignment="1" applyProtection="1">
      <alignment vertical="center"/>
      <protection hidden="1"/>
    </xf>
    <xf numFmtId="0" fontId="0" fillId="7" borderId="7" xfId="0" applyFill="1" applyBorder="1" applyAlignment="1" applyProtection="1">
      <alignment vertical="center"/>
      <protection hidden="1"/>
    </xf>
    <xf numFmtId="3" fontId="0" fillId="0" borderId="0" xfId="0" applyNumberFormat="1" applyFont="1" applyAlignment="1" applyProtection="1">
      <alignment vertical="center"/>
      <protection/>
    </xf>
    <xf numFmtId="174" fontId="0" fillId="0" borderId="0" xfId="0" applyNumberFormat="1" applyFont="1" applyAlignment="1" applyProtection="1">
      <alignment vertical="center"/>
      <protection/>
    </xf>
    <xf numFmtId="0" fontId="11" fillId="2" borderId="7" xfId="0" applyFont="1" applyFill="1" applyBorder="1" applyAlignment="1" applyProtection="1">
      <alignment horizontal="left" vertical="center" indent="1"/>
      <protection/>
    </xf>
    <xf numFmtId="0" fontId="0" fillId="2" borderId="7" xfId="0" applyFill="1" applyBorder="1" applyAlignment="1" applyProtection="1">
      <alignment horizontal="left" vertical="center" indent="1"/>
      <protection/>
    </xf>
    <xf numFmtId="0" fontId="2" fillId="2" borderId="5" xfId="0" applyFont="1" applyFill="1" applyBorder="1" applyAlignment="1" applyProtection="1">
      <alignment horizontal="center" vertical="center"/>
      <protection/>
    </xf>
    <xf numFmtId="4" fontId="0" fillId="0" borderId="5" xfId="0" applyNumberFormat="1" applyFill="1" applyBorder="1" applyAlignment="1" applyProtection="1">
      <alignment horizontal="right" vertical="center"/>
      <protection locked="0"/>
    </xf>
    <xf numFmtId="0" fontId="2" fillId="2" borderId="7" xfId="0" applyFont="1" applyFill="1" applyBorder="1" applyAlignment="1" applyProtection="1">
      <alignment vertical="center"/>
      <protection/>
    </xf>
    <xf numFmtId="0" fontId="0" fillId="0" borderId="5" xfId="0" applyBorder="1" applyAlignment="1" applyProtection="1">
      <alignment vertical="center"/>
      <protection/>
    </xf>
    <xf numFmtId="0" fontId="2" fillId="0" borderId="0" xfId="0" applyFont="1" applyAlignment="1" applyProtection="1">
      <alignment horizontal="right" vertical="center"/>
      <protection/>
    </xf>
    <xf numFmtId="4" fontId="0" fillId="2" borderId="5" xfId="0" applyNumberFormat="1" applyFill="1" applyBorder="1" applyAlignment="1" applyProtection="1">
      <alignment horizontal="right" vertical="center"/>
      <protection/>
    </xf>
    <xf numFmtId="0" fontId="0" fillId="8" borderId="0" xfId="0" applyFill="1" applyBorder="1" applyAlignment="1" applyProtection="1">
      <alignment vertical="center"/>
      <protection/>
    </xf>
    <xf numFmtId="0" fontId="0" fillId="8" borderId="4" xfId="0" applyFill="1" applyBorder="1" applyAlignment="1" applyProtection="1">
      <alignment vertical="center"/>
      <protection/>
    </xf>
    <xf numFmtId="0" fontId="0" fillId="8" borderId="16" xfId="0" applyFill="1" applyBorder="1" applyAlignment="1" applyProtection="1">
      <alignment vertical="center"/>
      <protection/>
    </xf>
    <xf numFmtId="0" fontId="0" fillId="8" borderId="17" xfId="0" applyFill="1" applyBorder="1" applyAlignment="1" applyProtection="1">
      <alignment vertical="center"/>
      <protection/>
    </xf>
    <xf numFmtId="0" fontId="0" fillId="8" borderId="18" xfId="0" applyFill="1" applyBorder="1" applyAlignment="1" applyProtection="1">
      <alignment vertical="center"/>
      <protection/>
    </xf>
    <xf numFmtId="0" fontId="0" fillId="8" borderId="0" xfId="0" applyFill="1" applyBorder="1" applyAlignment="1" applyProtection="1">
      <alignment horizontal="right" vertical="center"/>
      <protection/>
    </xf>
    <xf numFmtId="0" fontId="0" fillId="8" borderId="19" xfId="0" applyFill="1" applyBorder="1" applyAlignment="1" applyProtection="1">
      <alignment vertical="center"/>
      <protection/>
    </xf>
    <xf numFmtId="0" fontId="0" fillId="8" borderId="20" xfId="0" applyFill="1" applyBorder="1" applyAlignment="1" applyProtection="1">
      <alignment vertical="center"/>
      <protection/>
    </xf>
    <xf numFmtId="0" fontId="0" fillId="8" borderId="21" xfId="0" applyFill="1" applyBorder="1" applyAlignment="1" applyProtection="1">
      <alignment vertical="center"/>
      <protection/>
    </xf>
    <xf numFmtId="0" fontId="2" fillId="8" borderId="22" xfId="0" applyFont="1" applyFill="1" applyBorder="1" applyAlignment="1" applyProtection="1">
      <alignment vertical="center"/>
      <protection/>
    </xf>
    <xf numFmtId="181" fontId="2" fillId="8" borderId="17" xfId="0" applyNumberFormat="1" applyFont="1" applyFill="1" applyBorder="1" applyAlignment="1" applyProtection="1">
      <alignment horizontal="right" vertical="center"/>
      <protection/>
    </xf>
    <xf numFmtId="181" fontId="2" fillId="2" borderId="21" xfId="0" applyNumberFormat="1" applyFont="1" applyFill="1" applyBorder="1" applyAlignment="1" applyProtection="1">
      <alignment horizontal="right" vertical="center"/>
      <protection/>
    </xf>
    <xf numFmtId="0" fontId="0" fillId="3" borderId="14" xfId="0" applyFill="1" applyBorder="1" applyAlignment="1" applyProtection="1">
      <alignment vertical="center"/>
      <protection/>
    </xf>
    <xf numFmtId="0" fontId="0" fillId="3" borderId="1" xfId="0" applyFill="1" applyBorder="1" applyAlignment="1" applyProtection="1">
      <alignment vertical="center"/>
      <protection/>
    </xf>
    <xf numFmtId="0" fontId="2" fillId="3" borderId="1" xfId="0" applyFont="1" applyFill="1" applyBorder="1" applyAlignment="1" applyProtection="1">
      <alignment horizontal="center" vertical="center"/>
      <protection/>
    </xf>
    <xf numFmtId="0" fontId="0" fillId="3" borderId="2" xfId="0" applyFill="1" applyBorder="1" applyAlignment="1" applyProtection="1">
      <alignment vertical="center"/>
      <protection/>
    </xf>
    <xf numFmtId="0" fontId="0" fillId="3" borderId="3" xfId="0" applyFill="1" applyBorder="1" applyAlignment="1" applyProtection="1">
      <alignment vertical="center"/>
      <protection/>
    </xf>
    <xf numFmtId="0" fontId="0" fillId="3" borderId="0" xfId="0" applyFill="1" applyBorder="1" applyAlignment="1" applyProtection="1">
      <alignment vertical="center"/>
      <protection/>
    </xf>
    <xf numFmtId="0" fontId="2" fillId="3" borderId="0" xfId="0" applyFont="1" applyFill="1" applyBorder="1" applyAlignment="1" applyProtection="1">
      <alignment horizontal="center" vertical="center"/>
      <protection/>
    </xf>
    <xf numFmtId="0" fontId="0" fillId="3" borderId="4" xfId="0" applyFill="1" applyBorder="1" applyAlignment="1" applyProtection="1">
      <alignment vertical="center"/>
      <protection/>
    </xf>
    <xf numFmtId="0" fontId="14" fillId="3" borderId="0" xfId="0" applyFont="1" applyFill="1" applyBorder="1" applyAlignment="1" applyProtection="1">
      <alignment horizontal="center" vertical="center"/>
      <protection/>
    </xf>
    <xf numFmtId="0" fontId="2" fillId="3" borderId="3" xfId="0" applyFont="1" applyFill="1" applyBorder="1" applyAlignment="1" applyProtection="1">
      <alignment vertical="center"/>
      <protection/>
    </xf>
    <xf numFmtId="0" fontId="7" fillId="3" borderId="0" xfId="0" applyFont="1" applyFill="1" applyBorder="1" applyAlignment="1" applyProtection="1">
      <alignment vertical="center"/>
      <protection/>
    </xf>
    <xf numFmtId="0" fontId="0" fillId="3" borderId="6" xfId="0" applyFill="1" applyBorder="1" applyAlignment="1" applyProtection="1">
      <alignment vertical="center"/>
      <protection/>
    </xf>
    <xf numFmtId="0" fontId="0" fillId="3" borderId="7" xfId="0" applyFill="1" applyBorder="1" applyAlignment="1" applyProtection="1">
      <alignment vertical="center"/>
      <protection/>
    </xf>
    <xf numFmtId="0" fontId="7" fillId="3" borderId="7" xfId="0" applyFont="1" applyFill="1" applyBorder="1" applyAlignment="1" applyProtection="1">
      <alignment vertical="center"/>
      <protection/>
    </xf>
    <xf numFmtId="0" fontId="2" fillId="3" borderId="7" xfId="0" applyFont="1" applyFill="1" applyBorder="1" applyAlignment="1" applyProtection="1">
      <alignment horizontal="center" vertical="center"/>
      <protection/>
    </xf>
    <xf numFmtId="0" fontId="0" fillId="3" borderId="8" xfId="0" applyFill="1" applyBorder="1" applyAlignment="1" applyProtection="1">
      <alignment vertical="center"/>
      <protection/>
    </xf>
    <xf numFmtId="0" fontId="0" fillId="3" borderId="0" xfId="0" applyFill="1" applyBorder="1" applyAlignment="1" applyProtection="1">
      <alignment horizontal="centerContinuous" vertical="center"/>
      <protection/>
    </xf>
    <xf numFmtId="0" fontId="2" fillId="3" borderId="0" xfId="0" applyFont="1" applyFill="1" applyBorder="1" applyAlignment="1" applyProtection="1">
      <alignment horizontal="centerContinuous" vertical="center"/>
      <protection/>
    </xf>
    <xf numFmtId="0" fontId="0" fillId="3" borderId="4" xfId="0" applyFill="1" applyBorder="1" applyAlignment="1" applyProtection="1">
      <alignment horizontal="centerContinuous" vertical="center"/>
      <protection/>
    </xf>
    <xf numFmtId="0" fontId="25" fillId="3" borderId="3" xfId="0" applyFont="1" applyFill="1" applyBorder="1" applyAlignment="1" applyProtection="1">
      <alignment horizontal="centerContinuous" vertical="center"/>
      <protection/>
    </xf>
    <xf numFmtId="0" fontId="26" fillId="3" borderId="3" xfId="0" applyFont="1" applyFill="1" applyBorder="1" applyAlignment="1" applyProtection="1">
      <alignment horizontal="centerContinuous" vertical="center"/>
      <protection/>
    </xf>
    <xf numFmtId="0" fontId="27" fillId="3" borderId="0" xfId="0" applyFont="1" applyFill="1" applyBorder="1" applyAlignment="1" applyProtection="1">
      <alignment horizontal="centerContinuous" vertical="center"/>
      <protection/>
    </xf>
    <xf numFmtId="0" fontId="26" fillId="3" borderId="0" xfId="0" applyFont="1" applyFill="1" applyBorder="1" applyAlignment="1" applyProtection="1">
      <alignment horizontal="centerContinuous" vertical="center"/>
      <protection/>
    </xf>
    <xf numFmtId="0" fontId="27" fillId="3" borderId="4" xfId="0" applyFont="1" applyFill="1" applyBorder="1" applyAlignment="1" applyProtection="1">
      <alignment horizontal="centerContinuous" vertical="center"/>
      <protection/>
    </xf>
    <xf numFmtId="0" fontId="7" fillId="3" borderId="0" xfId="0" applyFont="1" applyFill="1" applyBorder="1" applyAlignment="1" applyProtection="1">
      <alignment horizontal="centerContinuous" vertical="center"/>
      <protection/>
    </xf>
    <xf numFmtId="0" fontId="25" fillId="3" borderId="3" xfId="0" applyFont="1" applyFill="1" applyBorder="1" applyAlignment="1" applyProtection="1">
      <alignment horizontal="centerContinuous" vertical="center"/>
      <protection/>
    </xf>
    <xf numFmtId="0" fontId="0" fillId="3" borderId="3" xfId="0" applyFill="1" applyBorder="1" applyAlignment="1" applyProtection="1">
      <alignment horizontal="centerContinuous" vertical="center"/>
      <protection/>
    </xf>
    <xf numFmtId="0" fontId="2" fillId="2" borderId="2" xfId="0" applyFont="1" applyFill="1" applyBorder="1" applyAlignment="1" applyProtection="1">
      <alignment horizontal="centerContinuous" vertical="center"/>
      <protection/>
    </xf>
    <xf numFmtId="0" fontId="0" fillId="2" borderId="8" xfId="0" applyFill="1" applyBorder="1" applyAlignment="1" applyProtection="1">
      <alignment horizontal="center" vertical="center"/>
      <protection/>
    </xf>
    <xf numFmtId="0" fontId="2" fillId="2" borderId="23" xfId="0" applyFont="1"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0" fontId="0" fillId="2" borderId="25" xfId="0" applyFill="1" applyBorder="1" applyAlignment="1" applyProtection="1">
      <alignment horizontal="center" vertical="center"/>
      <protection/>
    </xf>
    <xf numFmtId="0" fontId="0" fillId="2" borderId="4" xfId="0" applyFill="1" applyBorder="1" applyAlignment="1" applyProtection="1">
      <alignment horizontal="center" vertical="center"/>
      <protection/>
    </xf>
    <xf numFmtId="0" fontId="2" fillId="2" borderId="26" xfId="0" applyFont="1" applyFill="1" applyBorder="1" applyAlignment="1" applyProtection="1">
      <alignment horizontal="centerContinuous" vertical="center"/>
      <protection/>
    </xf>
    <xf numFmtId="0" fontId="2" fillId="2" borderId="27" xfId="0" applyFont="1" applyFill="1" applyBorder="1" applyAlignment="1" applyProtection="1">
      <alignment horizontal="center" vertical="center"/>
      <protection/>
    </xf>
    <xf numFmtId="0" fontId="0" fillId="2" borderId="28" xfId="0" applyFill="1" applyBorder="1" applyAlignment="1" applyProtection="1">
      <alignment horizontal="center" vertical="center"/>
      <protection/>
    </xf>
    <xf numFmtId="0" fontId="0" fillId="0" borderId="4" xfId="0" applyBorder="1" applyAlignment="1">
      <alignment/>
    </xf>
    <xf numFmtId="4" fontId="0" fillId="2" borderId="29" xfId="0" applyNumberFormat="1" applyFill="1" applyBorder="1" applyAlignment="1" applyProtection="1">
      <alignment horizontal="center" vertical="center"/>
      <protection/>
    </xf>
    <xf numFmtId="4" fontId="0" fillId="2" borderId="30" xfId="0" applyNumberFormat="1" applyFill="1" applyBorder="1" applyAlignment="1" applyProtection="1">
      <alignment horizontal="center" vertical="center"/>
      <protection/>
    </xf>
    <xf numFmtId="4" fontId="0" fillId="3" borderId="8" xfId="0" applyNumberFormat="1" applyFill="1" applyBorder="1" applyAlignment="1" applyProtection="1">
      <alignment horizontal="center" vertical="center"/>
      <protection locked="0"/>
    </xf>
    <xf numFmtId="4" fontId="0" fillId="3" borderId="13" xfId="0" applyNumberFormat="1" applyFill="1" applyBorder="1" applyAlignment="1" applyProtection="1">
      <alignment horizontal="center" vertical="center"/>
      <protection locked="0"/>
    </xf>
    <xf numFmtId="4" fontId="0" fillId="3" borderId="12" xfId="0" applyNumberFormat="1" applyFill="1" applyBorder="1" applyAlignment="1" applyProtection="1">
      <alignment horizontal="center" vertical="center"/>
      <protection locked="0"/>
    </xf>
    <xf numFmtId="4" fontId="0" fillId="3" borderId="5" xfId="0" applyNumberFormat="1" applyFill="1" applyBorder="1" applyAlignment="1" applyProtection="1">
      <alignment horizontal="center" vertical="center"/>
      <protection locked="0"/>
    </xf>
    <xf numFmtId="4" fontId="0" fillId="2" borderId="29" xfId="0" applyNumberFormat="1" applyFont="1" applyFill="1" applyBorder="1" applyAlignment="1" applyProtection="1">
      <alignment horizontal="center" vertical="center"/>
      <protection/>
    </xf>
    <xf numFmtId="4" fontId="0" fillId="3" borderId="29" xfId="0" applyNumberFormat="1" applyFill="1" applyBorder="1" applyAlignment="1" applyProtection="1">
      <alignment horizontal="center" vertical="center"/>
      <protection locked="0"/>
    </xf>
    <xf numFmtId="4" fontId="0" fillId="3" borderId="30" xfId="0" applyNumberFormat="1" applyFill="1" applyBorder="1" applyAlignment="1" applyProtection="1">
      <alignment horizontal="center" vertical="center"/>
      <protection locked="0"/>
    </xf>
    <xf numFmtId="4" fontId="2" fillId="2" borderId="29" xfId="0" applyNumberFormat="1" applyFont="1" applyFill="1" applyBorder="1" applyAlignment="1" applyProtection="1">
      <alignment horizontal="center" vertical="center"/>
      <protection/>
    </xf>
    <xf numFmtId="4" fontId="2" fillId="2" borderId="30" xfId="0" applyNumberFormat="1" applyFont="1" applyFill="1" applyBorder="1" applyAlignment="1" applyProtection="1">
      <alignment horizontal="center" vertical="center"/>
      <protection/>
    </xf>
    <xf numFmtId="4" fontId="2" fillId="2" borderId="12" xfId="0" applyNumberFormat="1" applyFont="1" applyFill="1" applyBorder="1" applyAlignment="1" applyProtection="1">
      <alignment horizontal="center" vertical="center"/>
      <protection/>
    </xf>
    <xf numFmtId="4" fontId="2" fillId="2" borderId="5" xfId="0" applyNumberFormat="1" applyFont="1" applyFill="1" applyBorder="1" applyAlignment="1" applyProtection="1">
      <alignment horizontal="center" vertical="center"/>
      <protection/>
    </xf>
    <xf numFmtId="0" fontId="1" fillId="2" borderId="4" xfId="0" applyFont="1" applyFill="1" applyBorder="1" applyAlignment="1" applyProtection="1">
      <alignment vertical="center"/>
      <protection/>
    </xf>
    <xf numFmtId="4" fontId="0" fillId="2" borderId="15" xfId="0" applyNumberFormat="1" applyFill="1" applyBorder="1" applyAlignment="1" applyProtection="1">
      <alignment horizontal="right" vertical="center"/>
      <protection/>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12" xfId="0" applyFont="1" applyFill="1" applyBorder="1" applyAlignment="1" applyProtection="1">
      <alignment horizontal="left" vertical="center"/>
      <protection locked="0"/>
    </xf>
    <xf numFmtId="0" fontId="0" fillId="3" borderId="10" xfId="17" applyFont="1" applyFill="1" applyBorder="1" applyAlignment="1" applyProtection="1">
      <alignment horizontal="left" vertical="center"/>
      <protection locked="0"/>
    </xf>
    <xf numFmtId="3" fontId="0" fillId="3" borderId="10" xfId="0" applyNumberFormat="1" applyFill="1" applyBorder="1" applyAlignment="1" applyProtection="1">
      <alignment horizontal="center" vertical="center"/>
      <protection locked="0"/>
    </xf>
    <xf numFmtId="3" fontId="0" fillId="3" borderId="12"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181" fontId="2" fillId="2" borderId="0" xfId="0" applyNumberFormat="1" applyFont="1" applyFill="1" applyBorder="1" applyAlignment="1" applyProtection="1">
      <alignment horizontal="right" vertical="center"/>
      <protection/>
    </xf>
    <xf numFmtId="181" fontId="2" fillId="2" borderId="4" xfId="0" applyNumberFormat="1" applyFont="1" applyFill="1" applyBorder="1" applyAlignment="1" applyProtection="1">
      <alignment horizontal="right" vertical="center"/>
      <protection/>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Definition_Kosten_Geb!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Restabfall!Druckbereich"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Sperrm&#252;l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Bioabfal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Altpapier!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Altstoffsammelzentrum!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Kosten_Einnahmen_Geb&#252;hren!A1" /></Relationships>
</file>

<file path=xl/drawings/_rels/drawing2.xml.rels><?xml version="1.0" encoding="utf-8" standalone="yes"?><Relationships xmlns="http://schemas.openxmlformats.org/package/2006/relationships"><Relationship Id="rId1" Type="http://schemas.openxmlformats.org/officeDocument/2006/relationships/hyperlink" Target="#Allgemeines!A1" /><Relationship Id="rId2" Type="http://schemas.openxmlformats.org/officeDocument/2006/relationships/hyperlink" Target="#Restabfall!Druckbereich" /><Relationship Id="rId3" Type="http://schemas.openxmlformats.org/officeDocument/2006/relationships/hyperlink" Target="#Sperrm&#252;ll!A1" /><Relationship Id="rId4" Type="http://schemas.openxmlformats.org/officeDocument/2006/relationships/hyperlink" Target="#Bioabfall!A1" /><Relationship Id="rId5" Type="http://schemas.openxmlformats.org/officeDocument/2006/relationships/hyperlink" Target="#Altpapier!A1" /><Relationship Id="rId6" Type="http://schemas.openxmlformats.org/officeDocument/2006/relationships/hyperlink" Target="#Restm&#252;ll" /><Relationship Id="rId7" Type="http://schemas.openxmlformats.org/officeDocument/2006/relationships/image" Target="../media/image1.png" /><Relationship Id="rId8" Type="http://schemas.openxmlformats.org/officeDocument/2006/relationships/hyperlink" Target="#Altstoffsammelzentrum!A1" /><Relationship Id="rId9" Type="http://schemas.openxmlformats.org/officeDocument/2006/relationships/hyperlink" Target="#Kosten_Einnahmen_Geb&#252;hren!A1" /><Relationship Id="rId10" Type="http://schemas.openxmlformats.org/officeDocument/2006/relationships/hyperlink" Target="#Erl&#228;uterungen!A1" /><Relationship Id="rId11" Type="http://schemas.openxmlformats.org/officeDocument/2006/relationships/hyperlink" Target="#Definition_Sperrm&#252;ll!A1" /><Relationship Id="rId12" Type="http://schemas.openxmlformats.org/officeDocument/2006/relationships/hyperlink" Target="#Definition_Bioabfall!A1" /><Relationship Id="rId13" Type="http://schemas.openxmlformats.org/officeDocument/2006/relationships/hyperlink" Target="#Definition_Altpapier!A1" /><Relationship Id="rId14" Type="http://schemas.openxmlformats.org/officeDocument/2006/relationships/hyperlink" Target="#Definition_ASZ!A1" /><Relationship Id="rId15" Type="http://schemas.openxmlformats.org/officeDocument/2006/relationships/hyperlink" Target="#Definition_Kosten_Geb!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s>
</file>

<file path=xl/drawings/_rels/drawing4.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image" Target="../media/image1.png" /><Relationship Id="rId3" Type="http://schemas.openxmlformats.org/officeDocument/2006/relationships/hyperlink" Target="#Restabfall!Druckbereich" /></Relationships>
</file>

<file path=xl/drawings/_rels/drawing5.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image" Target="../media/image1.png" /><Relationship Id="rId3" Type="http://schemas.openxmlformats.org/officeDocument/2006/relationships/hyperlink" Target="#Definition_Restabfall!Druckbereich" /><Relationship Id="rId4" Type="http://schemas.openxmlformats.org/officeDocument/2006/relationships/hyperlink" Target="#Definition_Restabfall!Druckbereich" /><Relationship Id="rId5" Type="http://schemas.openxmlformats.org/officeDocument/2006/relationships/hyperlink" Target="#Definition_Restabfall!Druckbereich" /><Relationship Id="rId6" Type="http://schemas.openxmlformats.org/officeDocument/2006/relationships/hyperlink" Target="#Definition_Restabfall!Druckbereich" /><Relationship Id="rId7" Type="http://schemas.openxmlformats.org/officeDocument/2006/relationships/hyperlink" Target="#Sperrm&#252;l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Definition_Sperrm&#252;ll!A1" /><Relationship Id="rId4" Type="http://schemas.openxmlformats.org/officeDocument/2006/relationships/hyperlink" Target="#Definition_Sperrm&#252;ll!A1" /><Relationship Id="rId5" Type="http://schemas.openxmlformats.org/officeDocument/2006/relationships/hyperlink" Target="#Definition_Sperrm&#252;ll!A1" /><Relationship Id="rId6" Type="http://schemas.openxmlformats.org/officeDocument/2006/relationships/hyperlink" Target="#Definition_Sperrm&#252;ll!A1" /><Relationship Id="rId7" Type="http://schemas.openxmlformats.org/officeDocument/2006/relationships/hyperlink" Target="#Bioabfall!A1" /></Relationships>
</file>

<file path=xl/drawings/_rels/drawing7.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image" Target="../media/image1.png" /><Relationship Id="rId3" Type="http://schemas.openxmlformats.org/officeDocument/2006/relationships/hyperlink" Target="#Definition_Bioabfall!A1" /><Relationship Id="rId4" Type="http://schemas.openxmlformats.org/officeDocument/2006/relationships/hyperlink" Target="#Definition_Bioabfall!A1" /><Relationship Id="rId5" Type="http://schemas.openxmlformats.org/officeDocument/2006/relationships/hyperlink" Target="#Definition_Bioabfall!A1" /><Relationship Id="rId6" Type="http://schemas.openxmlformats.org/officeDocument/2006/relationships/hyperlink" Target="#Definition_Bioabfall!A1" /><Relationship Id="rId7" Type="http://schemas.openxmlformats.org/officeDocument/2006/relationships/hyperlink" Target="#Altpapier!A1" /></Relationships>
</file>

<file path=xl/drawings/_rels/drawing8.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image" Target="../media/image1.png" /><Relationship Id="rId3" Type="http://schemas.openxmlformats.org/officeDocument/2006/relationships/hyperlink" Target="#Definition_Altpapier!A1" /><Relationship Id="rId4" Type="http://schemas.openxmlformats.org/officeDocument/2006/relationships/hyperlink" Target="#Definition_Altpapier!A1" /><Relationship Id="rId5" Type="http://schemas.openxmlformats.org/officeDocument/2006/relationships/hyperlink" Target="#Definition_Altpapier!A1" /><Relationship Id="rId6" Type="http://schemas.openxmlformats.org/officeDocument/2006/relationships/hyperlink" Target="#Definition_Altpapier!A1" /><Relationship Id="rId7" Type="http://schemas.openxmlformats.org/officeDocument/2006/relationships/hyperlink" Target="#Altstoffsammelzentrum!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verzeichnis!A1" /><Relationship Id="rId3" Type="http://schemas.openxmlformats.org/officeDocument/2006/relationships/hyperlink" Target="#Definition_ASZ!A1" /><Relationship Id="rId4" Type="http://schemas.openxmlformats.org/officeDocument/2006/relationships/hyperlink" Target="#Definition_ASZ!A1" /><Relationship Id="rId5" Type="http://schemas.openxmlformats.org/officeDocument/2006/relationships/hyperlink" Target="#Definition_ASZ!A1" /><Relationship Id="rId6" Type="http://schemas.openxmlformats.org/officeDocument/2006/relationships/hyperlink" Target="#Definition_ASZ!A1" /><Relationship Id="rId7" Type="http://schemas.openxmlformats.org/officeDocument/2006/relationships/hyperlink" Target="#Definition_ASZ!A1" /><Relationship Id="rId8" Type="http://schemas.openxmlformats.org/officeDocument/2006/relationships/hyperlink" Target="#Definition_ASZ!A1" /><Relationship Id="rId9" Type="http://schemas.openxmlformats.org/officeDocument/2006/relationships/hyperlink" Target="#Kosten_Einnahmen_Geb&#252;hre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13</xdr:row>
      <xdr:rowOff>9525</xdr:rowOff>
    </xdr:from>
    <xdr:to>
      <xdr:col>7</xdr:col>
      <xdr:colOff>295275</xdr:colOff>
      <xdr:row>18</xdr:row>
      <xdr:rowOff>28575</xdr:rowOff>
    </xdr:to>
    <xdr:pic>
      <xdr:nvPicPr>
        <xdr:cNvPr id="1" name="Picture 7"/>
        <xdr:cNvPicPr preferRelativeResize="1">
          <a:picLocks noChangeAspect="1"/>
        </xdr:cNvPicPr>
      </xdr:nvPicPr>
      <xdr:blipFill>
        <a:blip r:embed="rId1"/>
        <a:stretch>
          <a:fillRect/>
        </a:stretch>
      </xdr:blipFill>
      <xdr:spPr>
        <a:xfrm>
          <a:off x="3981450" y="2914650"/>
          <a:ext cx="1504950"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866775</xdr:colOff>
      <xdr:row>0</xdr:row>
      <xdr:rowOff>28575</xdr:rowOff>
    </xdr:from>
    <xdr:to>
      <xdr:col>8</xdr:col>
      <xdr:colOff>733425</xdr:colOff>
      <xdr:row>3</xdr:row>
      <xdr:rowOff>104775</xdr:rowOff>
    </xdr:to>
    <xdr:pic>
      <xdr:nvPicPr>
        <xdr:cNvPr id="1" name="Picture 2"/>
        <xdr:cNvPicPr preferRelativeResize="1">
          <a:picLocks noChangeAspect="1"/>
        </xdr:cNvPicPr>
      </xdr:nvPicPr>
      <xdr:blipFill>
        <a:blip r:embed="rId1"/>
        <a:stretch>
          <a:fillRect/>
        </a:stretch>
      </xdr:blipFill>
      <xdr:spPr>
        <a:xfrm>
          <a:off x="8305800" y="28575"/>
          <a:ext cx="1095375" cy="600075"/>
        </a:xfrm>
        <a:prstGeom prst="rect">
          <a:avLst/>
        </a:prstGeom>
        <a:noFill/>
        <a:ln w="9525" cmpd="sng">
          <a:noFill/>
        </a:ln>
      </xdr:spPr>
    </xdr:pic>
    <xdr:clientData/>
  </xdr:twoCellAnchor>
  <xdr:twoCellAnchor editAs="oneCell">
    <xdr:from>
      <xdr:col>19</xdr:col>
      <xdr:colOff>400050</xdr:colOff>
      <xdr:row>0</xdr:row>
      <xdr:rowOff>19050</xdr:rowOff>
    </xdr:from>
    <xdr:to>
      <xdr:col>20</xdr:col>
      <xdr:colOff>733425</xdr:colOff>
      <xdr:row>3</xdr:row>
      <xdr:rowOff>95250</xdr:rowOff>
    </xdr:to>
    <xdr:pic>
      <xdr:nvPicPr>
        <xdr:cNvPr id="2" name="Picture 3"/>
        <xdr:cNvPicPr preferRelativeResize="1">
          <a:picLocks noChangeAspect="1"/>
        </xdr:cNvPicPr>
      </xdr:nvPicPr>
      <xdr:blipFill>
        <a:blip r:embed="rId1"/>
        <a:stretch>
          <a:fillRect/>
        </a:stretch>
      </xdr:blipFill>
      <xdr:spPr>
        <a:xfrm>
          <a:off x="17754600" y="19050"/>
          <a:ext cx="1095375" cy="600075"/>
        </a:xfrm>
        <a:prstGeom prst="rect">
          <a:avLst/>
        </a:prstGeom>
        <a:noFill/>
        <a:ln w="9525" cmpd="sng">
          <a:noFill/>
        </a:ln>
      </xdr:spPr>
    </xdr:pic>
    <xdr:clientData/>
  </xdr:twoCellAnchor>
  <xdr:twoCellAnchor>
    <xdr:from>
      <xdr:col>7</xdr:col>
      <xdr:colOff>800100</xdr:colOff>
      <xdr:row>5</xdr:row>
      <xdr:rowOff>28575</xdr:rowOff>
    </xdr:from>
    <xdr:to>
      <xdr:col>8</xdr:col>
      <xdr:colOff>676275</xdr:colOff>
      <xdr:row>6</xdr:row>
      <xdr:rowOff>104775</xdr:rowOff>
    </xdr:to>
    <xdr:sp>
      <xdr:nvSpPr>
        <xdr:cNvPr id="3" name="AutoShape 4">
          <a:hlinkClick r:id="rId2"/>
        </xdr:cNvPr>
        <xdr:cNvSpPr>
          <a:spLocks/>
        </xdr:cNvSpPr>
      </xdr:nvSpPr>
      <xdr:spPr>
        <a:xfrm>
          <a:off x="8239125" y="914400"/>
          <a:ext cx="1104900"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6</xdr:col>
      <xdr:colOff>152400</xdr:colOff>
      <xdr:row>5</xdr:row>
      <xdr:rowOff>19050</xdr:rowOff>
    </xdr:from>
    <xdr:ext cx="295275" cy="190500"/>
    <xdr:sp>
      <xdr:nvSpPr>
        <xdr:cNvPr id="4" name="Rectangle 23">
          <a:hlinkClick r:id="rId3"/>
        </xdr:cNvPr>
        <xdr:cNvSpPr>
          <a:spLocks/>
        </xdr:cNvSpPr>
      </xdr:nvSpPr>
      <xdr:spPr>
        <a:xfrm>
          <a:off x="6362700" y="904875"/>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1"/>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2">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3" name="AutoShape 3">
          <a:hlinkClick r:id="rId3"/>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zum Restabfall</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7"/>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8">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3" name="AutoShape 9">
          <a:hlinkClick r:id="rId3"/>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zum Sperrmüll</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4"/>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5">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3" name="AutoShape 6">
          <a:hlinkClick r:id="rId3"/>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zum Bioabfall</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12"/>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13">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3" name="AutoShape 14">
          <a:hlinkClick r:id="rId3"/>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zum Altpapier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16"/>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17">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3" name="AutoShape 18">
          <a:hlinkClick r:id="rId3"/>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zum ASZ</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19"/>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20">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3" name="AutoShape 21">
          <a:hlinkClick r:id="rId3"/>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Kost./Erl./Geb.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10</xdr:row>
      <xdr:rowOff>47625</xdr:rowOff>
    </xdr:from>
    <xdr:to>
      <xdr:col>5</xdr:col>
      <xdr:colOff>323850</xdr:colOff>
      <xdr:row>12</xdr:row>
      <xdr:rowOff>38100</xdr:rowOff>
    </xdr:to>
    <xdr:sp>
      <xdr:nvSpPr>
        <xdr:cNvPr id="1" name="AutoShape 8">
          <a:hlinkClick r:id="rId1"/>
        </xdr:cNvPr>
        <xdr:cNvSpPr>
          <a:spLocks/>
        </xdr:cNvSpPr>
      </xdr:nvSpPr>
      <xdr:spPr>
        <a:xfrm>
          <a:off x="3724275" y="174307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12</xdr:row>
      <xdr:rowOff>123825</xdr:rowOff>
    </xdr:from>
    <xdr:to>
      <xdr:col>5</xdr:col>
      <xdr:colOff>323850</xdr:colOff>
      <xdr:row>14</xdr:row>
      <xdr:rowOff>57150</xdr:rowOff>
    </xdr:to>
    <xdr:sp>
      <xdr:nvSpPr>
        <xdr:cNvPr id="2" name="AutoShape 10">
          <a:hlinkClick r:id="rId2"/>
        </xdr:cNvPr>
        <xdr:cNvSpPr>
          <a:spLocks/>
        </xdr:cNvSpPr>
      </xdr:nvSpPr>
      <xdr:spPr>
        <a:xfrm>
          <a:off x="3724275" y="208597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14</xdr:row>
      <xdr:rowOff>123825</xdr:rowOff>
    </xdr:from>
    <xdr:to>
      <xdr:col>5</xdr:col>
      <xdr:colOff>323850</xdr:colOff>
      <xdr:row>16</xdr:row>
      <xdr:rowOff>85725</xdr:rowOff>
    </xdr:to>
    <xdr:sp>
      <xdr:nvSpPr>
        <xdr:cNvPr id="3" name="AutoShape 11">
          <a:hlinkClick r:id="rId3"/>
        </xdr:cNvPr>
        <xdr:cNvSpPr>
          <a:spLocks/>
        </xdr:cNvSpPr>
      </xdr:nvSpPr>
      <xdr:spPr>
        <a:xfrm>
          <a:off x="3724275" y="2409825"/>
          <a:ext cx="266700" cy="2857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17</xdr:row>
      <xdr:rowOff>104775</xdr:rowOff>
    </xdr:from>
    <xdr:to>
      <xdr:col>5</xdr:col>
      <xdr:colOff>323850</xdr:colOff>
      <xdr:row>19</xdr:row>
      <xdr:rowOff>38100</xdr:rowOff>
    </xdr:to>
    <xdr:sp>
      <xdr:nvSpPr>
        <xdr:cNvPr id="4" name="AutoShape 12">
          <a:hlinkClick r:id="rId4"/>
        </xdr:cNvPr>
        <xdr:cNvSpPr>
          <a:spLocks/>
        </xdr:cNvSpPr>
      </xdr:nvSpPr>
      <xdr:spPr>
        <a:xfrm>
          <a:off x="3724275" y="2876550"/>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19</xdr:row>
      <xdr:rowOff>114300</xdr:rowOff>
    </xdr:from>
    <xdr:to>
      <xdr:col>5</xdr:col>
      <xdr:colOff>323850</xdr:colOff>
      <xdr:row>21</xdr:row>
      <xdr:rowOff>47625</xdr:rowOff>
    </xdr:to>
    <xdr:sp>
      <xdr:nvSpPr>
        <xdr:cNvPr id="5" name="AutoShape 13">
          <a:hlinkClick r:id="rId5"/>
        </xdr:cNvPr>
        <xdr:cNvSpPr>
          <a:spLocks/>
        </xdr:cNvSpPr>
      </xdr:nvSpPr>
      <xdr:spPr>
        <a:xfrm>
          <a:off x="3724275" y="320992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47625</xdr:colOff>
      <xdr:row>5</xdr:row>
      <xdr:rowOff>104775</xdr:rowOff>
    </xdr:from>
    <xdr:ext cx="342900" cy="285750"/>
    <xdr:sp>
      <xdr:nvSpPr>
        <xdr:cNvPr id="6" name="AutoShape 16">
          <a:hlinkClick r:id="rId6"/>
        </xdr:cNvPr>
        <xdr:cNvSpPr>
          <a:spLocks/>
        </xdr:cNvSpPr>
      </xdr:nvSpPr>
      <xdr:spPr>
        <a:xfrm>
          <a:off x="3714750" y="990600"/>
          <a:ext cx="342900" cy="285750"/>
        </a:xfrm>
        <a:prstGeom prst="rightArrow">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800" b="0" i="0" u="none" baseline="0">
              <a:solidFill>
                <a:srgbClr val="FFFFFF"/>
              </a:solidFill>
              <a:latin typeface="Arial"/>
              <a:ea typeface="Arial"/>
              <a:cs typeface="Arial"/>
            </a:rPr>
            <a:t>Kap.2</a:t>
          </a:r>
        </a:p>
      </xdr:txBody>
    </xdr:sp>
    <xdr:clientData/>
  </xdr:oneCellAnchor>
  <xdr:twoCellAnchor editAs="oneCell">
    <xdr:from>
      <xdr:col>10</xdr:col>
      <xdr:colOff>371475</xdr:colOff>
      <xdr:row>0</xdr:row>
      <xdr:rowOff>38100</xdr:rowOff>
    </xdr:from>
    <xdr:to>
      <xdr:col>11</xdr:col>
      <xdr:colOff>704850</xdr:colOff>
      <xdr:row>3</xdr:row>
      <xdr:rowOff>76200</xdr:rowOff>
    </xdr:to>
    <xdr:pic>
      <xdr:nvPicPr>
        <xdr:cNvPr id="7" name="Picture 17"/>
        <xdr:cNvPicPr preferRelativeResize="1">
          <a:picLocks noChangeAspect="1"/>
        </xdr:cNvPicPr>
      </xdr:nvPicPr>
      <xdr:blipFill>
        <a:blip r:embed="rId7"/>
        <a:stretch>
          <a:fillRect/>
        </a:stretch>
      </xdr:blipFill>
      <xdr:spPr>
        <a:xfrm>
          <a:off x="7848600" y="38100"/>
          <a:ext cx="1095375" cy="600075"/>
        </a:xfrm>
        <a:prstGeom prst="rect">
          <a:avLst/>
        </a:prstGeom>
        <a:noFill/>
        <a:ln w="9525" cmpd="sng">
          <a:noFill/>
        </a:ln>
      </xdr:spPr>
    </xdr:pic>
    <xdr:clientData/>
  </xdr:twoCellAnchor>
  <xdr:twoCellAnchor>
    <xdr:from>
      <xdr:col>5</xdr:col>
      <xdr:colOff>47625</xdr:colOff>
      <xdr:row>21</xdr:row>
      <xdr:rowOff>133350</xdr:rowOff>
    </xdr:from>
    <xdr:to>
      <xdr:col>5</xdr:col>
      <xdr:colOff>314325</xdr:colOff>
      <xdr:row>23</xdr:row>
      <xdr:rowOff>66675</xdr:rowOff>
    </xdr:to>
    <xdr:sp>
      <xdr:nvSpPr>
        <xdr:cNvPr id="8" name="AutoShape 18">
          <a:hlinkClick r:id="rId8"/>
        </xdr:cNvPr>
        <xdr:cNvSpPr>
          <a:spLocks/>
        </xdr:cNvSpPr>
      </xdr:nvSpPr>
      <xdr:spPr>
        <a:xfrm>
          <a:off x="3714750" y="355282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23</xdr:row>
      <xdr:rowOff>123825</xdr:rowOff>
    </xdr:from>
    <xdr:to>
      <xdr:col>5</xdr:col>
      <xdr:colOff>304800</xdr:colOff>
      <xdr:row>25</xdr:row>
      <xdr:rowOff>57150</xdr:rowOff>
    </xdr:to>
    <xdr:sp>
      <xdr:nvSpPr>
        <xdr:cNvPr id="9" name="AutoShape 19">
          <a:hlinkClick r:id="rId9"/>
        </xdr:cNvPr>
        <xdr:cNvSpPr>
          <a:spLocks/>
        </xdr:cNvSpPr>
      </xdr:nvSpPr>
      <xdr:spPr>
        <a:xfrm>
          <a:off x="3705225" y="3867150"/>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3</xdr:row>
      <xdr:rowOff>104775</xdr:rowOff>
    </xdr:from>
    <xdr:ext cx="266700" cy="257175"/>
    <xdr:sp>
      <xdr:nvSpPr>
        <xdr:cNvPr id="10" name="AutoShape 20">
          <a:hlinkClick r:id="rId10"/>
        </xdr:cNvPr>
        <xdr:cNvSpPr>
          <a:spLocks/>
        </xdr:cNvSpPr>
      </xdr:nvSpPr>
      <xdr:spPr>
        <a:xfrm>
          <a:off x="3724275" y="666750"/>
          <a:ext cx="266700" cy="257175"/>
        </a:xfrm>
        <a:prstGeom prst="rightArrow">
          <a:avLst/>
        </a:prstGeom>
        <a:solidFill>
          <a:srgbClr val="0000FF"/>
        </a:solid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514350</xdr:colOff>
      <xdr:row>5</xdr:row>
      <xdr:rowOff>104775</xdr:rowOff>
    </xdr:from>
    <xdr:ext cx="352425" cy="285750"/>
    <xdr:sp>
      <xdr:nvSpPr>
        <xdr:cNvPr id="11" name="AutoShape 21">
          <a:hlinkClick r:id="rId11"/>
        </xdr:cNvPr>
        <xdr:cNvSpPr>
          <a:spLocks/>
        </xdr:cNvSpPr>
      </xdr:nvSpPr>
      <xdr:spPr>
        <a:xfrm>
          <a:off x="4181475" y="990600"/>
          <a:ext cx="352425" cy="285750"/>
        </a:xfrm>
        <a:prstGeom prst="rightArrow">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800" b="0" i="0" u="none" baseline="0">
              <a:solidFill>
                <a:srgbClr val="FFFFFF"/>
              </a:solidFill>
              <a:latin typeface="Arial"/>
              <a:ea typeface="Arial"/>
              <a:cs typeface="Arial"/>
            </a:rPr>
            <a:t>Kap.3</a:t>
          </a:r>
        </a:p>
      </xdr:txBody>
    </xdr:sp>
    <xdr:clientData/>
  </xdr:oneCellAnchor>
  <xdr:oneCellAnchor>
    <xdr:from>
      <xdr:col>6</xdr:col>
      <xdr:colOff>209550</xdr:colOff>
      <xdr:row>5</xdr:row>
      <xdr:rowOff>104775</xdr:rowOff>
    </xdr:from>
    <xdr:ext cx="352425" cy="285750"/>
    <xdr:sp>
      <xdr:nvSpPr>
        <xdr:cNvPr id="12" name="AutoShape 22">
          <a:hlinkClick r:id="rId12"/>
        </xdr:cNvPr>
        <xdr:cNvSpPr>
          <a:spLocks/>
        </xdr:cNvSpPr>
      </xdr:nvSpPr>
      <xdr:spPr>
        <a:xfrm>
          <a:off x="4638675" y="990600"/>
          <a:ext cx="352425" cy="285750"/>
        </a:xfrm>
        <a:prstGeom prst="rightArrow">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800" b="0" i="0" u="none" baseline="0">
              <a:solidFill>
                <a:srgbClr val="FFFFFF"/>
              </a:solidFill>
              <a:latin typeface="Arial"/>
              <a:ea typeface="Arial"/>
              <a:cs typeface="Arial"/>
            </a:rPr>
            <a:t>Kap.4</a:t>
          </a:r>
        </a:p>
      </xdr:txBody>
    </xdr:sp>
    <xdr:clientData/>
  </xdr:oneCellAnchor>
  <xdr:oneCellAnchor>
    <xdr:from>
      <xdr:col>6</xdr:col>
      <xdr:colOff>666750</xdr:colOff>
      <xdr:row>5</xdr:row>
      <xdr:rowOff>104775</xdr:rowOff>
    </xdr:from>
    <xdr:ext cx="342900" cy="285750"/>
    <xdr:sp>
      <xdr:nvSpPr>
        <xdr:cNvPr id="13" name="AutoShape 23">
          <a:hlinkClick r:id="rId13"/>
        </xdr:cNvPr>
        <xdr:cNvSpPr>
          <a:spLocks/>
        </xdr:cNvSpPr>
      </xdr:nvSpPr>
      <xdr:spPr>
        <a:xfrm>
          <a:off x="5095875" y="990600"/>
          <a:ext cx="342900" cy="285750"/>
        </a:xfrm>
        <a:prstGeom prst="rightArrow">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800" b="0" i="0" u="none" baseline="0">
              <a:solidFill>
                <a:srgbClr val="FFFFFF"/>
              </a:solidFill>
              <a:latin typeface="Arial"/>
              <a:ea typeface="Arial"/>
              <a:cs typeface="Arial"/>
            </a:rPr>
            <a:t>Kap.5</a:t>
          </a:r>
        </a:p>
      </xdr:txBody>
    </xdr:sp>
    <xdr:clientData/>
  </xdr:oneCellAnchor>
  <xdr:oneCellAnchor>
    <xdr:from>
      <xdr:col>7</xdr:col>
      <xdr:colOff>371475</xdr:colOff>
      <xdr:row>5</xdr:row>
      <xdr:rowOff>104775</xdr:rowOff>
    </xdr:from>
    <xdr:ext cx="342900" cy="285750"/>
    <xdr:sp>
      <xdr:nvSpPr>
        <xdr:cNvPr id="14" name="AutoShape 24">
          <a:hlinkClick r:id="rId14"/>
        </xdr:cNvPr>
        <xdr:cNvSpPr>
          <a:spLocks/>
        </xdr:cNvSpPr>
      </xdr:nvSpPr>
      <xdr:spPr>
        <a:xfrm>
          <a:off x="5562600" y="990600"/>
          <a:ext cx="342900" cy="285750"/>
        </a:xfrm>
        <a:prstGeom prst="rightArrow">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800" b="0" i="0" u="none" baseline="0">
              <a:solidFill>
                <a:srgbClr val="FFFFFF"/>
              </a:solidFill>
              <a:latin typeface="Arial"/>
              <a:ea typeface="Arial"/>
              <a:cs typeface="Arial"/>
            </a:rPr>
            <a:t>Kap.6</a:t>
          </a:r>
        </a:p>
      </xdr:txBody>
    </xdr:sp>
    <xdr:clientData/>
  </xdr:oneCellAnchor>
  <xdr:oneCellAnchor>
    <xdr:from>
      <xdr:col>8</xdr:col>
      <xdr:colOff>47625</xdr:colOff>
      <xdr:row>5</xdr:row>
      <xdr:rowOff>104775</xdr:rowOff>
    </xdr:from>
    <xdr:ext cx="342900" cy="285750"/>
    <xdr:sp>
      <xdr:nvSpPr>
        <xdr:cNvPr id="15" name="AutoShape 25">
          <a:hlinkClick r:id="rId15"/>
        </xdr:cNvPr>
        <xdr:cNvSpPr>
          <a:spLocks/>
        </xdr:cNvSpPr>
      </xdr:nvSpPr>
      <xdr:spPr>
        <a:xfrm>
          <a:off x="6000750" y="990600"/>
          <a:ext cx="342900" cy="285750"/>
        </a:xfrm>
        <a:prstGeom prst="rightArrow">
          <a:avLst/>
        </a:prstGeom>
        <a:solidFill>
          <a:srgbClr val="0000FF"/>
        </a:solidFill>
        <a:ln w="9525" cmpd="sng">
          <a:solidFill>
            <a:srgbClr val="000000"/>
          </a:solidFill>
          <a:headEnd type="none"/>
          <a:tailEnd type="none"/>
        </a:ln>
      </xdr:spPr>
      <xdr:txBody>
        <a:bodyPr vertOverflow="clip" wrap="square" anchor="ctr">
          <a:spAutoFit/>
        </a:bodyPr>
        <a:p>
          <a:pPr algn="ctr">
            <a:defRPr/>
          </a:pPr>
          <a:r>
            <a:rPr lang="en-US" cap="none" sz="800" b="0" i="0" u="none" baseline="0">
              <a:solidFill>
                <a:srgbClr val="FFFFFF"/>
              </a:solidFill>
              <a:latin typeface="Arial"/>
              <a:ea typeface="Arial"/>
              <a:cs typeface="Arial"/>
            </a:rPr>
            <a:t>Kap.7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0</xdr:row>
      <xdr:rowOff>38100</xdr:rowOff>
    </xdr:from>
    <xdr:to>
      <xdr:col>10</xdr:col>
      <xdr:colOff>1676400</xdr:colOff>
      <xdr:row>3</xdr:row>
      <xdr:rowOff>114300</xdr:rowOff>
    </xdr:to>
    <xdr:pic>
      <xdr:nvPicPr>
        <xdr:cNvPr id="1" name="Picture 1"/>
        <xdr:cNvPicPr preferRelativeResize="1">
          <a:picLocks noChangeAspect="1"/>
        </xdr:cNvPicPr>
      </xdr:nvPicPr>
      <xdr:blipFill>
        <a:blip r:embed="rId1"/>
        <a:stretch>
          <a:fillRect/>
        </a:stretch>
      </xdr:blipFill>
      <xdr:spPr>
        <a:xfrm>
          <a:off x="8201025" y="38100"/>
          <a:ext cx="1085850" cy="600075"/>
        </a:xfrm>
        <a:prstGeom prst="rect">
          <a:avLst/>
        </a:prstGeom>
        <a:noFill/>
        <a:ln w="9525" cmpd="sng">
          <a:noFill/>
        </a:ln>
      </xdr:spPr>
    </xdr:pic>
    <xdr:clientData/>
  </xdr:twoCellAnchor>
  <xdr:twoCellAnchor>
    <xdr:from>
      <xdr:col>7</xdr:col>
      <xdr:colOff>666750</xdr:colOff>
      <xdr:row>2</xdr:row>
      <xdr:rowOff>142875</xdr:rowOff>
    </xdr:from>
    <xdr:to>
      <xdr:col>9</xdr:col>
      <xdr:colOff>161925</xdr:colOff>
      <xdr:row>4</xdr:row>
      <xdr:rowOff>95250</xdr:rowOff>
    </xdr:to>
    <xdr:sp>
      <xdr:nvSpPr>
        <xdr:cNvPr id="2" name="AutoShape 2">
          <a:hlinkClick r:id="rId2"/>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4</xdr:col>
      <xdr:colOff>400050</xdr:colOff>
      <xdr:row>41</xdr:row>
      <xdr:rowOff>0</xdr:rowOff>
    </xdr:from>
    <xdr:to>
      <xdr:col>5</xdr:col>
      <xdr:colOff>714375</xdr:colOff>
      <xdr:row>41</xdr:row>
      <xdr:rowOff>0</xdr:rowOff>
    </xdr:to>
    <xdr:sp>
      <xdr:nvSpPr>
        <xdr:cNvPr id="3" name="AutoShape 10"/>
        <xdr:cNvSpPr>
          <a:spLocks/>
        </xdr:cNvSpPr>
      </xdr:nvSpPr>
      <xdr:spPr>
        <a:xfrm>
          <a:off x="3438525" y="6581775"/>
          <a:ext cx="1076325" cy="0"/>
        </a:xfrm>
        <a:prstGeom prst="leftArrow">
          <a:avLst/>
        </a:prstGeom>
        <a:solidFill>
          <a:srgbClr val="FF0000"/>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prüfen</a:t>
          </a:r>
        </a:p>
      </xdr:txBody>
    </xdr:sp>
    <xdr:clientData/>
  </xdr:twoCellAnchor>
  <xdr:twoCellAnchor>
    <xdr:from>
      <xdr:col>9</xdr:col>
      <xdr:colOff>685800</xdr:colOff>
      <xdr:row>26</xdr:row>
      <xdr:rowOff>133350</xdr:rowOff>
    </xdr:from>
    <xdr:to>
      <xdr:col>10</xdr:col>
      <xdr:colOff>200025</xdr:colOff>
      <xdr:row>28</xdr:row>
      <xdr:rowOff>47625</xdr:rowOff>
    </xdr:to>
    <xdr:sp>
      <xdr:nvSpPr>
        <xdr:cNvPr id="4" name="AutoShape 1"/>
        <xdr:cNvSpPr>
          <a:spLocks/>
        </xdr:cNvSpPr>
      </xdr:nvSpPr>
      <xdr:spPr>
        <a:xfrm>
          <a:off x="7534275" y="4219575"/>
          <a:ext cx="276225" cy="257175"/>
        </a:xfrm>
        <a:prstGeom prst="rightArrow">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295275</xdr:colOff>
      <xdr:row>12</xdr:row>
      <xdr:rowOff>0</xdr:rowOff>
    </xdr:from>
    <xdr:ext cx="209550" cy="190500"/>
    <xdr:sp>
      <xdr:nvSpPr>
        <xdr:cNvPr id="5" name="Text Box 4"/>
        <xdr:cNvSpPr txBox="1">
          <a:spLocks noChangeArrowheads="1"/>
        </xdr:cNvSpPr>
      </xdr:nvSpPr>
      <xdr:spPr>
        <a:xfrm>
          <a:off x="4857750" y="2105025"/>
          <a:ext cx="209550" cy="190500"/>
        </a:xfrm>
        <a:prstGeom prst="rect">
          <a:avLst/>
        </a:prstGeom>
        <a:solidFill>
          <a:srgbClr val="FFFFFF"/>
        </a:solidFill>
        <a:ln w="9525" cmpd="sng">
          <a:solidFill>
            <a:srgbClr val="000000"/>
          </a:solidFill>
          <a:headEnd type="none"/>
          <a:tailEnd type="none"/>
        </a:ln>
      </xdr:spPr>
      <xdr:txBody>
        <a:bodyPr vertOverflow="clip" wrap="square" lIns="18288" tIns="22860" rIns="0" bIns="0" anchor="ctr"/>
        <a:p>
          <a:pPr algn="ctr">
            <a:defRPr/>
          </a:pPr>
          <a:r>
            <a:rPr lang="en-US" cap="none" sz="1000" b="0" i="0" u="none" baseline="0">
              <a:solidFill>
                <a:srgbClr val="000000"/>
              </a:solidFill>
              <a:latin typeface="Arial"/>
              <a:ea typeface="Arial"/>
              <a:cs typeface="Arial"/>
            </a:rPr>
            <a:t>x        </a:t>
          </a:r>
        </a:p>
      </xdr:txBody>
    </xdr:sp>
    <xdr:clientData/>
  </xdr:oneCellAnchor>
  <xdr:twoCellAnchor>
    <xdr:from>
      <xdr:col>8</xdr:col>
      <xdr:colOff>685800</xdr:colOff>
      <xdr:row>28</xdr:row>
      <xdr:rowOff>38100</xdr:rowOff>
    </xdr:from>
    <xdr:to>
      <xdr:col>10</xdr:col>
      <xdr:colOff>180975</xdr:colOff>
      <xdr:row>29</xdr:row>
      <xdr:rowOff>133350</xdr:rowOff>
    </xdr:to>
    <xdr:sp>
      <xdr:nvSpPr>
        <xdr:cNvPr id="6" name="AutoShape 35"/>
        <xdr:cNvSpPr>
          <a:spLocks/>
        </xdr:cNvSpPr>
      </xdr:nvSpPr>
      <xdr:spPr>
        <a:xfrm>
          <a:off x="6772275" y="4467225"/>
          <a:ext cx="1019175" cy="266700"/>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9</xdr:col>
      <xdr:colOff>704850</xdr:colOff>
      <xdr:row>29</xdr:row>
      <xdr:rowOff>180975</xdr:rowOff>
    </xdr:from>
    <xdr:ext cx="295275" cy="200025"/>
    <xdr:sp>
      <xdr:nvSpPr>
        <xdr:cNvPr id="7" name="Rectangle 37"/>
        <xdr:cNvSpPr>
          <a:spLocks/>
        </xdr:cNvSpPr>
      </xdr:nvSpPr>
      <xdr:spPr>
        <a:xfrm>
          <a:off x="7553325" y="4781550"/>
          <a:ext cx="295275" cy="200025"/>
        </a:xfrm>
        <a:prstGeom prst="rect">
          <a:avLst/>
        </a:prstGeom>
        <a:solidFill>
          <a:srgbClr val="FF00FF"/>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Def.</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5</xdr:row>
      <xdr:rowOff>57150</xdr:rowOff>
    </xdr:from>
    <xdr:to>
      <xdr:col>11</xdr:col>
      <xdr:colOff>666750</xdr:colOff>
      <xdr:row>7</xdr:row>
      <xdr:rowOff>9525</xdr:rowOff>
    </xdr:to>
    <xdr:sp>
      <xdr:nvSpPr>
        <xdr:cNvPr id="1" name="AutoShape 35">
          <a:hlinkClick r:id="rId1"/>
        </xdr:cNvPr>
        <xdr:cNvSpPr>
          <a:spLocks/>
        </xdr:cNvSpPr>
      </xdr:nvSpPr>
      <xdr:spPr>
        <a:xfrm>
          <a:off x="7886700" y="94297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editAs="oneCell">
    <xdr:from>
      <xdr:col>10</xdr:col>
      <xdr:colOff>352425</xdr:colOff>
      <xdr:row>0</xdr:row>
      <xdr:rowOff>28575</xdr:rowOff>
    </xdr:from>
    <xdr:to>
      <xdr:col>11</xdr:col>
      <xdr:colOff>685800</xdr:colOff>
      <xdr:row>3</xdr:row>
      <xdr:rowOff>66675</xdr:rowOff>
    </xdr:to>
    <xdr:pic>
      <xdr:nvPicPr>
        <xdr:cNvPr id="2" name="Picture 43"/>
        <xdr:cNvPicPr preferRelativeResize="1">
          <a:picLocks noChangeAspect="1"/>
        </xdr:cNvPicPr>
      </xdr:nvPicPr>
      <xdr:blipFill>
        <a:blip r:embed="rId2"/>
        <a:stretch>
          <a:fillRect/>
        </a:stretch>
      </xdr:blipFill>
      <xdr:spPr>
        <a:xfrm>
          <a:off x="7829550" y="28575"/>
          <a:ext cx="1095375" cy="600075"/>
        </a:xfrm>
        <a:prstGeom prst="rect">
          <a:avLst/>
        </a:prstGeom>
        <a:noFill/>
        <a:ln w="9525" cmpd="sng">
          <a:noFill/>
        </a:ln>
      </xdr:spPr>
    </xdr:pic>
    <xdr:clientData/>
  </xdr:twoCellAnchor>
  <xdr:twoCellAnchor editAs="oneCell">
    <xdr:from>
      <xdr:col>22</xdr:col>
      <xdr:colOff>371475</xdr:colOff>
      <xdr:row>0</xdr:row>
      <xdr:rowOff>38100</xdr:rowOff>
    </xdr:from>
    <xdr:to>
      <xdr:col>23</xdr:col>
      <xdr:colOff>704850</xdr:colOff>
      <xdr:row>3</xdr:row>
      <xdr:rowOff>76200</xdr:rowOff>
    </xdr:to>
    <xdr:pic>
      <xdr:nvPicPr>
        <xdr:cNvPr id="3" name="Picture 47"/>
        <xdr:cNvPicPr preferRelativeResize="1">
          <a:picLocks noChangeAspect="1"/>
        </xdr:cNvPicPr>
      </xdr:nvPicPr>
      <xdr:blipFill>
        <a:blip r:embed="rId2"/>
        <a:stretch>
          <a:fillRect/>
        </a:stretch>
      </xdr:blipFill>
      <xdr:spPr>
        <a:xfrm>
          <a:off x="17287875" y="38100"/>
          <a:ext cx="1095375" cy="600075"/>
        </a:xfrm>
        <a:prstGeom prst="rect">
          <a:avLst/>
        </a:prstGeom>
        <a:noFill/>
        <a:ln w="9525" cmpd="sng">
          <a:noFill/>
        </a:ln>
      </xdr:spPr>
    </xdr:pic>
    <xdr:clientData/>
  </xdr:twoCellAnchor>
  <xdr:twoCellAnchor>
    <xdr:from>
      <xdr:col>11</xdr:col>
      <xdr:colOff>47625</xdr:colOff>
      <xdr:row>33</xdr:row>
      <xdr:rowOff>47625</xdr:rowOff>
    </xdr:from>
    <xdr:to>
      <xdr:col>11</xdr:col>
      <xdr:colOff>619125</xdr:colOff>
      <xdr:row>35</xdr:row>
      <xdr:rowOff>38100</xdr:rowOff>
    </xdr:to>
    <xdr:sp>
      <xdr:nvSpPr>
        <xdr:cNvPr id="4" name="AutoShape 57">
          <a:hlinkClick r:id="rId3"/>
        </xdr:cNvPr>
        <xdr:cNvSpPr>
          <a:spLocks/>
        </xdr:cNvSpPr>
      </xdr:nvSpPr>
      <xdr:spPr>
        <a:xfrm>
          <a:off x="8286750" y="5467350"/>
          <a:ext cx="581025" cy="314325"/>
        </a:xfrm>
        <a:prstGeom prst="rightArrow">
          <a:avLst/>
        </a:prstGeom>
        <a:solidFill>
          <a:srgbClr val="0000FF"/>
        </a:solidFill>
        <a:ln w="9525" cmpd="sng">
          <a:solidFill>
            <a:srgbClr val="FFFFFF"/>
          </a:solidFill>
          <a:headEnd type="none"/>
          <a:tailEnd type="none"/>
        </a:ln>
      </xdr:spPr>
      <xdr:txBody>
        <a:bodyPr vertOverflow="clip" wrap="square"/>
        <a:p>
          <a:pPr algn="ctr">
            <a:defRPr/>
          </a:pPr>
          <a:r>
            <a:rPr lang="en-US" cap="none" sz="800" b="0" i="0" u="none" baseline="0">
              <a:solidFill>
                <a:srgbClr val="FFFFFF"/>
              </a:solidFill>
              <a:latin typeface="Arial"/>
              <a:ea typeface="Arial"/>
              <a:cs typeface="Arial"/>
            </a:rPr>
            <a:t>weiter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1600200</xdr:colOff>
      <xdr:row>4</xdr:row>
      <xdr:rowOff>104775</xdr:rowOff>
    </xdr:from>
    <xdr:to>
      <xdr:col>12</xdr:col>
      <xdr:colOff>685800</xdr:colOff>
      <xdr:row>6</xdr:row>
      <xdr:rowOff>19050</xdr:rowOff>
    </xdr:to>
    <xdr:sp>
      <xdr:nvSpPr>
        <xdr:cNvPr id="1" name="AutoShape 23">
          <a:hlinkClick r:id="rId1"/>
        </xdr:cNvPr>
        <xdr:cNvSpPr>
          <a:spLocks/>
        </xdr:cNvSpPr>
      </xdr:nvSpPr>
      <xdr:spPr>
        <a:xfrm>
          <a:off x="8086725" y="82867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editAs="oneCell">
    <xdr:from>
      <xdr:col>11</xdr:col>
      <xdr:colOff>1524000</xdr:colOff>
      <xdr:row>0</xdr:row>
      <xdr:rowOff>28575</xdr:rowOff>
    </xdr:from>
    <xdr:to>
      <xdr:col>12</xdr:col>
      <xdr:colOff>685800</xdr:colOff>
      <xdr:row>3</xdr:row>
      <xdr:rowOff>104775</xdr:rowOff>
    </xdr:to>
    <xdr:pic>
      <xdr:nvPicPr>
        <xdr:cNvPr id="2" name="Picture 32"/>
        <xdr:cNvPicPr preferRelativeResize="1">
          <a:picLocks noChangeAspect="1"/>
        </xdr:cNvPicPr>
      </xdr:nvPicPr>
      <xdr:blipFill>
        <a:blip r:embed="rId2"/>
        <a:stretch>
          <a:fillRect/>
        </a:stretch>
      </xdr:blipFill>
      <xdr:spPr>
        <a:xfrm>
          <a:off x="8010525" y="28575"/>
          <a:ext cx="1095375" cy="600075"/>
        </a:xfrm>
        <a:prstGeom prst="rect">
          <a:avLst/>
        </a:prstGeom>
        <a:noFill/>
        <a:ln w="9525" cmpd="sng">
          <a:noFill/>
        </a:ln>
      </xdr:spPr>
    </xdr:pic>
    <xdr:clientData/>
  </xdr:twoCellAnchor>
  <xdr:oneCellAnchor>
    <xdr:from>
      <xdr:col>11</xdr:col>
      <xdr:colOff>19050</xdr:colOff>
      <xdr:row>3</xdr:row>
      <xdr:rowOff>19050</xdr:rowOff>
    </xdr:from>
    <xdr:ext cx="295275" cy="190500"/>
    <xdr:sp>
      <xdr:nvSpPr>
        <xdr:cNvPr id="3" name="Rectangle 33">
          <a:hlinkClick r:id="rId3"/>
        </xdr:cNvPr>
        <xdr:cNvSpPr>
          <a:spLocks/>
        </xdr:cNvSpPr>
      </xdr:nvSpPr>
      <xdr:spPr>
        <a:xfrm>
          <a:off x="6505575" y="542925"/>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190500</xdr:colOff>
      <xdr:row>7</xdr:row>
      <xdr:rowOff>85725</xdr:rowOff>
    </xdr:from>
    <xdr:ext cx="295275" cy="276225"/>
    <xdr:sp>
      <xdr:nvSpPr>
        <xdr:cNvPr id="4" name="Rectangle 36">
          <a:hlinkClick r:id="rId4"/>
        </xdr:cNvPr>
        <xdr:cNvSpPr>
          <a:spLocks/>
        </xdr:cNvSpPr>
      </xdr:nvSpPr>
      <xdr:spPr>
        <a:xfrm>
          <a:off x="6124575" y="1333500"/>
          <a:ext cx="295275" cy="27622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171450</xdr:colOff>
      <xdr:row>19</xdr:row>
      <xdr:rowOff>85725</xdr:rowOff>
    </xdr:from>
    <xdr:ext cx="295275" cy="276225"/>
    <xdr:sp>
      <xdr:nvSpPr>
        <xdr:cNvPr id="5" name="Rectangle 37">
          <a:hlinkClick r:id="rId5"/>
        </xdr:cNvPr>
        <xdr:cNvSpPr>
          <a:spLocks/>
        </xdr:cNvSpPr>
      </xdr:nvSpPr>
      <xdr:spPr>
        <a:xfrm>
          <a:off x="6105525" y="3600450"/>
          <a:ext cx="295275" cy="27622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5</xdr:col>
      <xdr:colOff>28575</xdr:colOff>
      <xdr:row>36</xdr:row>
      <xdr:rowOff>19050</xdr:rowOff>
    </xdr:from>
    <xdr:ext cx="304800" cy="190500"/>
    <xdr:sp>
      <xdr:nvSpPr>
        <xdr:cNvPr id="6" name="Rectangle 38">
          <a:hlinkClick r:id="rId6"/>
        </xdr:cNvPr>
        <xdr:cNvSpPr>
          <a:spLocks/>
        </xdr:cNvSpPr>
      </xdr:nvSpPr>
      <xdr:spPr>
        <a:xfrm>
          <a:off x="3752850" y="6610350"/>
          <a:ext cx="304800"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twoCellAnchor editAs="oneCell">
    <xdr:from>
      <xdr:col>22</xdr:col>
      <xdr:colOff>723900</xdr:colOff>
      <xdr:row>0</xdr:row>
      <xdr:rowOff>47625</xdr:rowOff>
    </xdr:from>
    <xdr:to>
      <xdr:col>24</xdr:col>
      <xdr:colOff>295275</xdr:colOff>
      <xdr:row>3</xdr:row>
      <xdr:rowOff>123825</xdr:rowOff>
    </xdr:to>
    <xdr:pic>
      <xdr:nvPicPr>
        <xdr:cNvPr id="7" name="Picture 39"/>
        <xdr:cNvPicPr preferRelativeResize="1">
          <a:picLocks noChangeAspect="1"/>
        </xdr:cNvPicPr>
      </xdr:nvPicPr>
      <xdr:blipFill>
        <a:blip r:embed="rId2"/>
        <a:stretch>
          <a:fillRect/>
        </a:stretch>
      </xdr:blipFill>
      <xdr:spPr>
        <a:xfrm>
          <a:off x="17402175" y="47625"/>
          <a:ext cx="1095375" cy="600075"/>
        </a:xfrm>
        <a:prstGeom prst="rect">
          <a:avLst/>
        </a:prstGeom>
        <a:noFill/>
        <a:ln w="9525" cmpd="sng">
          <a:noFill/>
        </a:ln>
      </xdr:spPr>
    </xdr:pic>
    <xdr:clientData/>
  </xdr:twoCellAnchor>
  <xdr:twoCellAnchor>
    <xdr:from>
      <xdr:col>9</xdr:col>
      <xdr:colOff>152400</xdr:colOff>
      <xdr:row>38</xdr:row>
      <xdr:rowOff>104775</xdr:rowOff>
    </xdr:from>
    <xdr:to>
      <xdr:col>10</xdr:col>
      <xdr:colOff>285750</xdr:colOff>
      <xdr:row>40</xdr:row>
      <xdr:rowOff>95250</xdr:rowOff>
    </xdr:to>
    <xdr:sp>
      <xdr:nvSpPr>
        <xdr:cNvPr id="8" name="AutoShape 45">
          <a:hlinkClick r:id="rId7"/>
        </xdr:cNvPr>
        <xdr:cNvSpPr>
          <a:spLocks/>
        </xdr:cNvSpPr>
      </xdr:nvSpPr>
      <xdr:spPr>
        <a:xfrm>
          <a:off x="5648325" y="7058025"/>
          <a:ext cx="571500" cy="314325"/>
        </a:xfrm>
        <a:prstGeom prst="rightArrow">
          <a:avLst/>
        </a:prstGeom>
        <a:solidFill>
          <a:srgbClr val="0000FF"/>
        </a:solidFill>
        <a:ln w="9525" cmpd="sng">
          <a:solidFill>
            <a:srgbClr val="FFFFFF"/>
          </a:solidFill>
          <a:headEnd type="none"/>
          <a:tailEnd type="none"/>
        </a:ln>
      </xdr:spPr>
      <xdr:txBody>
        <a:bodyPr vertOverflow="clip" wrap="square"/>
        <a:p>
          <a:pPr algn="ctr">
            <a:defRPr/>
          </a:pPr>
          <a:r>
            <a:rPr lang="en-US" cap="none" sz="800" b="0" i="0" u="none" baseline="0">
              <a:solidFill>
                <a:srgbClr val="FFFFFF"/>
              </a:solidFill>
              <a:latin typeface="Arial"/>
              <a:ea typeface="Arial"/>
              <a:cs typeface="Arial"/>
            </a:rPr>
            <a:t>weiter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0</xdr:row>
      <xdr:rowOff>19050</xdr:rowOff>
    </xdr:from>
    <xdr:to>
      <xdr:col>14</xdr:col>
      <xdr:colOff>219075</xdr:colOff>
      <xdr:row>3</xdr:row>
      <xdr:rowOff>95250</xdr:rowOff>
    </xdr:to>
    <xdr:pic>
      <xdr:nvPicPr>
        <xdr:cNvPr id="1" name="Picture 17"/>
        <xdr:cNvPicPr preferRelativeResize="1">
          <a:picLocks noChangeAspect="1"/>
        </xdr:cNvPicPr>
      </xdr:nvPicPr>
      <xdr:blipFill>
        <a:blip r:embed="rId1"/>
        <a:stretch>
          <a:fillRect/>
        </a:stretch>
      </xdr:blipFill>
      <xdr:spPr>
        <a:xfrm>
          <a:off x="8324850" y="19050"/>
          <a:ext cx="1095375" cy="600075"/>
        </a:xfrm>
        <a:prstGeom prst="rect">
          <a:avLst/>
        </a:prstGeom>
        <a:noFill/>
        <a:ln w="9525" cmpd="sng">
          <a:noFill/>
        </a:ln>
      </xdr:spPr>
    </xdr:pic>
    <xdr:clientData/>
  </xdr:twoCellAnchor>
  <xdr:twoCellAnchor>
    <xdr:from>
      <xdr:col>13</xdr:col>
      <xdr:colOff>85725</xdr:colOff>
      <xdr:row>4</xdr:row>
      <xdr:rowOff>123825</xdr:rowOff>
    </xdr:from>
    <xdr:to>
      <xdr:col>14</xdr:col>
      <xdr:colOff>209550</xdr:colOff>
      <xdr:row>6</xdr:row>
      <xdr:rowOff>38100</xdr:rowOff>
    </xdr:to>
    <xdr:sp>
      <xdr:nvSpPr>
        <xdr:cNvPr id="2" name="AutoShape 18">
          <a:hlinkClick r:id="rId2"/>
        </xdr:cNvPr>
        <xdr:cNvSpPr>
          <a:spLocks/>
        </xdr:cNvSpPr>
      </xdr:nvSpPr>
      <xdr:spPr>
        <a:xfrm>
          <a:off x="8391525" y="8477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editAs="oneCell">
    <xdr:from>
      <xdr:col>25</xdr:col>
      <xdr:colOff>514350</xdr:colOff>
      <xdr:row>0</xdr:row>
      <xdr:rowOff>19050</xdr:rowOff>
    </xdr:from>
    <xdr:to>
      <xdr:col>26</xdr:col>
      <xdr:colOff>847725</xdr:colOff>
      <xdr:row>3</xdr:row>
      <xdr:rowOff>95250</xdr:rowOff>
    </xdr:to>
    <xdr:pic>
      <xdr:nvPicPr>
        <xdr:cNvPr id="3" name="Picture 19"/>
        <xdr:cNvPicPr preferRelativeResize="1">
          <a:picLocks noChangeAspect="1"/>
        </xdr:cNvPicPr>
      </xdr:nvPicPr>
      <xdr:blipFill>
        <a:blip r:embed="rId1"/>
        <a:stretch>
          <a:fillRect/>
        </a:stretch>
      </xdr:blipFill>
      <xdr:spPr>
        <a:xfrm>
          <a:off x="17754600" y="19050"/>
          <a:ext cx="1095375" cy="600075"/>
        </a:xfrm>
        <a:prstGeom prst="rect">
          <a:avLst/>
        </a:prstGeom>
        <a:noFill/>
        <a:ln w="9525" cmpd="sng">
          <a:noFill/>
        </a:ln>
      </xdr:spPr>
    </xdr:pic>
    <xdr:clientData/>
  </xdr:twoCellAnchor>
  <xdr:oneCellAnchor>
    <xdr:from>
      <xdr:col>11</xdr:col>
      <xdr:colOff>542925</xdr:colOff>
      <xdr:row>4</xdr:row>
      <xdr:rowOff>47625</xdr:rowOff>
    </xdr:from>
    <xdr:ext cx="295275" cy="180975"/>
    <xdr:sp>
      <xdr:nvSpPr>
        <xdr:cNvPr id="4" name="Rectangle 20">
          <a:hlinkClick r:id="rId3"/>
        </xdr:cNvPr>
        <xdr:cNvSpPr>
          <a:spLocks/>
        </xdr:cNvSpPr>
      </xdr:nvSpPr>
      <xdr:spPr>
        <a:xfrm>
          <a:off x="7058025" y="771525"/>
          <a:ext cx="295275" cy="18097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9</xdr:col>
      <xdr:colOff>85725</xdr:colOff>
      <xdr:row>20</xdr:row>
      <xdr:rowOff>0</xdr:rowOff>
    </xdr:from>
    <xdr:ext cx="295275" cy="180975"/>
    <xdr:sp>
      <xdr:nvSpPr>
        <xdr:cNvPr id="5" name="Rectangle 21">
          <a:hlinkClick r:id="rId4"/>
        </xdr:cNvPr>
        <xdr:cNvSpPr>
          <a:spLocks/>
        </xdr:cNvSpPr>
      </xdr:nvSpPr>
      <xdr:spPr>
        <a:xfrm>
          <a:off x="5762625" y="3429000"/>
          <a:ext cx="295275" cy="18097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9</xdr:col>
      <xdr:colOff>85725</xdr:colOff>
      <xdr:row>29</xdr:row>
      <xdr:rowOff>0</xdr:rowOff>
    </xdr:from>
    <xdr:ext cx="295275" cy="180975"/>
    <xdr:sp>
      <xdr:nvSpPr>
        <xdr:cNvPr id="6" name="Rectangle 24">
          <a:hlinkClick r:id="rId5"/>
        </xdr:cNvPr>
        <xdr:cNvSpPr>
          <a:spLocks/>
        </xdr:cNvSpPr>
      </xdr:nvSpPr>
      <xdr:spPr>
        <a:xfrm>
          <a:off x="5762625" y="4895850"/>
          <a:ext cx="295275" cy="18097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9</xdr:col>
      <xdr:colOff>85725</xdr:colOff>
      <xdr:row>38</xdr:row>
      <xdr:rowOff>0</xdr:rowOff>
    </xdr:from>
    <xdr:ext cx="295275" cy="180975"/>
    <xdr:sp>
      <xdr:nvSpPr>
        <xdr:cNvPr id="7" name="Rectangle 27">
          <a:hlinkClick r:id="rId6"/>
        </xdr:cNvPr>
        <xdr:cNvSpPr>
          <a:spLocks/>
        </xdr:cNvSpPr>
      </xdr:nvSpPr>
      <xdr:spPr>
        <a:xfrm>
          <a:off x="5762625" y="6362700"/>
          <a:ext cx="295275" cy="18097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twoCellAnchor>
    <xdr:from>
      <xdr:col>13</xdr:col>
      <xdr:colOff>485775</xdr:colOff>
      <xdr:row>39</xdr:row>
      <xdr:rowOff>76200</xdr:rowOff>
    </xdr:from>
    <xdr:to>
      <xdr:col>14</xdr:col>
      <xdr:colOff>161925</xdr:colOff>
      <xdr:row>41</xdr:row>
      <xdr:rowOff>66675</xdr:rowOff>
    </xdr:to>
    <xdr:sp>
      <xdr:nvSpPr>
        <xdr:cNvPr id="8" name="AutoShape 28">
          <a:hlinkClick r:id="rId7"/>
        </xdr:cNvPr>
        <xdr:cNvSpPr>
          <a:spLocks/>
        </xdr:cNvSpPr>
      </xdr:nvSpPr>
      <xdr:spPr>
        <a:xfrm>
          <a:off x="8791575" y="6600825"/>
          <a:ext cx="571500" cy="314325"/>
        </a:xfrm>
        <a:prstGeom prst="rightArrow">
          <a:avLst/>
        </a:prstGeom>
        <a:solidFill>
          <a:srgbClr val="0000FF"/>
        </a:solidFill>
        <a:ln w="9525" cmpd="sng">
          <a:solidFill>
            <a:srgbClr val="FFFFFF"/>
          </a:solidFill>
          <a:headEnd type="none"/>
          <a:tailEnd type="none"/>
        </a:ln>
      </xdr:spPr>
      <xdr:txBody>
        <a:bodyPr vertOverflow="clip" wrap="square"/>
        <a:p>
          <a:pPr algn="ctr">
            <a:defRPr/>
          </a:pPr>
          <a:r>
            <a:rPr lang="en-US" cap="none" sz="800" b="0" i="0" u="none" baseline="0">
              <a:solidFill>
                <a:srgbClr val="FFFFFF"/>
              </a:solidFill>
              <a:latin typeface="Arial"/>
              <a:ea typeface="Arial"/>
              <a:cs typeface="Arial"/>
            </a:rPr>
            <a:t>weiter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1590675</xdr:colOff>
      <xdr:row>4</xdr:row>
      <xdr:rowOff>76200</xdr:rowOff>
    </xdr:from>
    <xdr:to>
      <xdr:col>12</xdr:col>
      <xdr:colOff>676275</xdr:colOff>
      <xdr:row>5</xdr:row>
      <xdr:rowOff>190500</xdr:rowOff>
    </xdr:to>
    <xdr:sp>
      <xdr:nvSpPr>
        <xdr:cNvPr id="1" name="AutoShape 13">
          <a:hlinkClick r:id="rId1"/>
        </xdr:cNvPr>
        <xdr:cNvSpPr>
          <a:spLocks/>
        </xdr:cNvSpPr>
      </xdr:nvSpPr>
      <xdr:spPr>
        <a:xfrm>
          <a:off x="8077200" y="800100"/>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editAs="oneCell">
    <xdr:from>
      <xdr:col>11</xdr:col>
      <xdr:colOff>1524000</xdr:colOff>
      <xdr:row>0</xdr:row>
      <xdr:rowOff>28575</xdr:rowOff>
    </xdr:from>
    <xdr:to>
      <xdr:col>12</xdr:col>
      <xdr:colOff>685800</xdr:colOff>
      <xdr:row>3</xdr:row>
      <xdr:rowOff>104775</xdr:rowOff>
    </xdr:to>
    <xdr:pic>
      <xdr:nvPicPr>
        <xdr:cNvPr id="2" name="Picture 14"/>
        <xdr:cNvPicPr preferRelativeResize="1">
          <a:picLocks noChangeAspect="1"/>
        </xdr:cNvPicPr>
      </xdr:nvPicPr>
      <xdr:blipFill>
        <a:blip r:embed="rId2"/>
        <a:stretch>
          <a:fillRect/>
        </a:stretch>
      </xdr:blipFill>
      <xdr:spPr>
        <a:xfrm>
          <a:off x="8010525" y="28575"/>
          <a:ext cx="1095375" cy="600075"/>
        </a:xfrm>
        <a:prstGeom prst="rect">
          <a:avLst/>
        </a:prstGeom>
        <a:noFill/>
        <a:ln w="9525" cmpd="sng">
          <a:noFill/>
        </a:ln>
      </xdr:spPr>
    </xdr:pic>
    <xdr:clientData/>
  </xdr:twoCellAnchor>
  <xdr:oneCellAnchor>
    <xdr:from>
      <xdr:col>11</xdr:col>
      <xdr:colOff>9525</xdr:colOff>
      <xdr:row>3</xdr:row>
      <xdr:rowOff>9525</xdr:rowOff>
    </xdr:from>
    <xdr:ext cx="295275" cy="190500"/>
    <xdr:sp>
      <xdr:nvSpPr>
        <xdr:cNvPr id="3" name="Rectangle 15">
          <a:hlinkClick r:id="rId3"/>
        </xdr:cNvPr>
        <xdr:cNvSpPr>
          <a:spLocks/>
        </xdr:cNvSpPr>
      </xdr:nvSpPr>
      <xdr:spPr>
        <a:xfrm>
          <a:off x="6496050" y="533400"/>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0</xdr:colOff>
      <xdr:row>7</xdr:row>
      <xdr:rowOff>95250</xdr:rowOff>
    </xdr:from>
    <xdr:ext cx="295275" cy="276225"/>
    <xdr:sp>
      <xdr:nvSpPr>
        <xdr:cNvPr id="4" name="Rectangle 16">
          <a:hlinkClick r:id="rId4"/>
        </xdr:cNvPr>
        <xdr:cNvSpPr>
          <a:spLocks/>
        </xdr:cNvSpPr>
      </xdr:nvSpPr>
      <xdr:spPr>
        <a:xfrm>
          <a:off x="5934075" y="1343025"/>
          <a:ext cx="295275" cy="27622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9525</xdr:colOff>
      <xdr:row>19</xdr:row>
      <xdr:rowOff>95250</xdr:rowOff>
    </xdr:from>
    <xdr:ext cx="295275" cy="276225"/>
    <xdr:sp>
      <xdr:nvSpPr>
        <xdr:cNvPr id="5" name="Rectangle 17">
          <a:hlinkClick r:id="rId5"/>
        </xdr:cNvPr>
        <xdr:cNvSpPr>
          <a:spLocks/>
        </xdr:cNvSpPr>
      </xdr:nvSpPr>
      <xdr:spPr>
        <a:xfrm>
          <a:off x="5943600" y="3609975"/>
          <a:ext cx="295275" cy="27622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5</xdr:col>
      <xdr:colOff>28575</xdr:colOff>
      <xdr:row>33</xdr:row>
      <xdr:rowOff>9525</xdr:rowOff>
    </xdr:from>
    <xdr:ext cx="304800" cy="190500"/>
    <xdr:sp>
      <xdr:nvSpPr>
        <xdr:cNvPr id="6" name="Rectangle 18">
          <a:hlinkClick r:id="rId6"/>
        </xdr:cNvPr>
        <xdr:cNvSpPr>
          <a:spLocks/>
        </xdr:cNvSpPr>
      </xdr:nvSpPr>
      <xdr:spPr>
        <a:xfrm>
          <a:off x="3752850" y="6153150"/>
          <a:ext cx="304800"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twoCellAnchor editAs="oneCell">
    <xdr:from>
      <xdr:col>22</xdr:col>
      <xdr:colOff>723900</xdr:colOff>
      <xdr:row>0</xdr:row>
      <xdr:rowOff>47625</xdr:rowOff>
    </xdr:from>
    <xdr:to>
      <xdr:col>24</xdr:col>
      <xdr:colOff>295275</xdr:colOff>
      <xdr:row>3</xdr:row>
      <xdr:rowOff>123825</xdr:rowOff>
    </xdr:to>
    <xdr:pic>
      <xdr:nvPicPr>
        <xdr:cNvPr id="7" name="Picture 19"/>
        <xdr:cNvPicPr preferRelativeResize="1">
          <a:picLocks noChangeAspect="1"/>
        </xdr:cNvPicPr>
      </xdr:nvPicPr>
      <xdr:blipFill>
        <a:blip r:embed="rId2"/>
        <a:stretch>
          <a:fillRect/>
        </a:stretch>
      </xdr:blipFill>
      <xdr:spPr>
        <a:xfrm>
          <a:off x="17402175" y="47625"/>
          <a:ext cx="1095375" cy="600075"/>
        </a:xfrm>
        <a:prstGeom prst="rect">
          <a:avLst/>
        </a:prstGeom>
        <a:noFill/>
        <a:ln w="9525" cmpd="sng">
          <a:noFill/>
        </a:ln>
      </xdr:spPr>
    </xdr:pic>
    <xdr:clientData/>
  </xdr:twoCellAnchor>
  <xdr:twoCellAnchor>
    <xdr:from>
      <xdr:col>9</xdr:col>
      <xdr:colOff>219075</xdr:colOff>
      <xdr:row>35</xdr:row>
      <xdr:rowOff>66675</xdr:rowOff>
    </xdr:from>
    <xdr:to>
      <xdr:col>10</xdr:col>
      <xdr:colOff>352425</xdr:colOff>
      <xdr:row>37</xdr:row>
      <xdr:rowOff>66675</xdr:rowOff>
    </xdr:to>
    <xdr:sp>
      <xdr:nvSpPr>
        <xdr:cNvPr id="8" name="AutoShape 27">
          <a:hlinkClick r:id="rId7"/>
        </xdr:cNvPr>
        <xdr:cNvSpPr>
          <a:spLocks/>
        </xdr:cNvSpPr>
      </xdr:nvSpPr>
      <xdr:spPr>
        <a:xfrm>
          <a:off x="5715000" y="6572250"/>
          <a:ext cx="571500" cy="323850"/>
        </a:xfrm>
        <a:prstGeom prst="rightArrow">
          <a:avLst/>
        </a:prstGeom>
        <a:solidFill>
          <a:srgbClr val="0000FF"/>
        </a:solidFill>
        <a:ln w="9525" cmpd="sng">
          <a:solidFill>
            <a:srgbClr val="FFFFFF"/>
          </a:solidFill>
          <a:headEnd type="none"/>
          <a:tailEnd type="none"/>
        </a:ln>
      </xdr:spPr>
      <xdr:txBody>
        <a:bodyPr vertOverflow="clip" wrap="square"/>
        <a:p>
          <a:pPr algn="ctr">
            <a:defRPr/>
          </a:pPr>
          <a:r>
            <a:rPr lang="en-US" cap="none" sz="800" b="0" i="0" u="none" baseline="0">
              <a:solidFill>
                <a:srgbClr val="FFFFFF"/>
              </a:solidFill>
              <a:latin typeface="Arial"/>
              <a:ea typeface="Arial"/>
              <a:cs typeface="Arial"/>
            </a:rPr>
            <a:t>weiter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1609725</xdr:colOff>
      <xdr:row>4</xdr:row>
      <xdr:rowOff>114300</xdr:rowOff>
    </xdr:from>
    <xdr:to>
      <xdr:col>12</xdr:col>
      <xdr:colOff>695325</xdr:colOff>
      <xdr:row>6</xdr:row>
      <xdr:rowOff>28575</xdr:rowOff>
    </xdr:to>
    <xdr:sp>
      <xdr:nvSpPr>
        <xdr:cNvPr id="1" name="AutoShape 13">
          <a:hlinkClick r:id="rId1"/>
        </xdr:cNvPr>
        <xdr:cNvSpPr>
          <a:spLocks/>
        </xdr:cNvSpPr>
      </xdr:nvSpPr>
      <xdr:spPr>
        <a:xfrm>
          <a:off x="8096250" y="838200"/>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twoCellAnchor editAs="oneCell">
    <xdr:from>
      <xdr:col>11</xdr:col>
      <xdr:colOff>1524000</xdr:colOff>
      <xdr:row>0</xdr:row>
      <xdr:rowOff>28575</xdr:rowOff>
    </xdr:from>
    <xdr:to>
      <xdr:col>12</xdr:col>
      <xdr:colOff>685800</xdr:colOff>
      <xdr:row>3</xdr:row>
      <xdr:rowOff>104775</xdr:rowOff>
    </xdr:to>
    <xdr:pic>
      <xdr:nvPicPr>
        <xdr:cNvPr id="2" name="Picture 14"/>
        <xdr:cNvPicPr preferRelativeResize="1">
          <a:picLocks noChangeAspect="1"/>
        </xdr:cNvPicPr>
      </xdr:nvPicPr>
      <xdr:blipFill>
        <a:blip r:embed="rId2"/>
        <a:stretch>
          <a:fillRect/>
        </a:stretch>
      </xdr:blipFill>
      <xdr:spPr>
        <a:xfrm>
          <a:off x="8010525" y="28575"/>
          <a:ext cx="1095375" cy="600075"/>
        </a:xfrm>
        <a:prstGeom prst="rect">
          <a:avLst/>
        </a:prstGeom>
        <a:noFill/>
        <a:ln w="9525" cmpd="sng">
          <a:noFill/>
        </a:ln>
      </xdr:spPr>
    </xdr:pic>
    <xdr:clientData/>
  </xdr:twoCellAnchor>
  <xdr:oneCellAnchor>
    <xdr:from>
      <xdr:col>11</xdr:col>
      <xdr:colOff>495300</xdr:colOff>
      <xdr:row>3</xdr:row>
      <xdr:rowOff>9525</xdr:rowOff>
    </xdr:from>
    <xdr:ext cx="295275" cy="190500"/>
    <xdr:sp>
      <xdr:nvSpPr>
        <xdr:cNvPr id="3" name="Rectangle 15">
          <a:hlinkClick r:id="rId3"/>
        </xdr:cNvPr>
        <xdr:cNvSpPr>
          <a:spLocks/>
        </xdr:cNvSpPr>
      </xdr:nvSpPr>
      <xdr:spPr>
        <a:xfrm>
          <a:off x="6981825" y="533400"/>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9525</xdr:colOff>
      <xdr:row>7</xdr:row>
      <xdr:rowOff>95250</xdr:rowOff>
    </xdr:from>
    <xdr:ext cx="295275" cy="276225"/>
    <xdr:sp>
      <xdr:nvSpPr>
        <xdr:cNvPr id="4" name="Rectangle 16">
          <a:hlinkClick r:id="rId4"/>
        </xdr:cNvPr>
        <xdr:cNvSpPr>
          <a:spLocks/>
        </xdr:cNvSpPr>
      </xdr:nvSpPr>
      <xdr:spPr>
        <a:xfrm>
          <a:off x="5943600" y="1343025"/>
          <a:ext cx="295275" cy="27622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9525</xdr:colOff>
      <xdr:row>19</xdr:row>
      <xdr:rowOff>114300</xdr:rowOff>
    </xdr:from>
    <xdr:ext cx="295275" cy="276225"/>
    <xdr:sp>
      <xdr:nvSpPr>
        <xdr:cNvPr id="5" name="Rectangle 17">
          <a:hlinkClick r:id="rId5"/>
        </xdr:cNvPr>
        <xdr:cNvSpPr>
          <a:spLocks/>
        </xdr:cNvSpPr>
      </xdr:nvSpPr>
      <xdr:spPr>
        <a:xfrm>
          <a:off x="5943600" y="3629025"/>
          <a:ext cx="295275" cy="276225"/>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5</xdr:col>
      <xdr:colOff>19050</xdr:colOff>
      <xdr:row>33</xdr:row>
      <xdr:rowOff>19050</xdr:rowOff>
    </xdr:from>
    <xdr:ext cx="304800" cy="190500"/>
    <xdr:sp>
      <xdr:nvSpPr>
        <xdr:cNvPr id="6" name="Rectangle 18">
          <a:hlinkClick r:id="rId6"/>
        </xdr:cNvPr>
        <xdr:cNvSpPr>
          <a:spLocks/>
        </xdr:cNvSpPr>
      </xdr:nvSpPr>
      <xdr:spPr>
        <a:xfrm>
          <a:off x="3743325" y="6162675"/>
          <a:ext cx="304800"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twoCellAnchor editAs="oneCell">
    <xdr:from>
      <xdr:col>22</xdr:col>
      <xdr:colOff>723900</xdr:colOff>
      <xdr:row>0</xdr:row>
      <xdr:rowOff>47625</xdr:rowOff>
    </xdr:from>
    <xdr:to>
      <xdr:col>24</xdr:col>
      <xdr:colOff>295275</xdr:colOff>
      <xdr:row>3</xdr:row>
      <xdr:rowOff>123825</xdr:rowOff>
    </xdr:to>
    <xdr:pic>
      <xdr:nvPicPr>
        <xdr:cNvPr id="7" name="Picture 19"/>
        <xdr:cNvPicPr preferRelativeResize="1">
          <a:picLocks noChangeAspect="1"/>
        </xdr:cNvPicPr>
      </xdr:nvPicPr>
      <xdr:blipFill>
        <a:blip r:embed="rId2"/>
        <a:stretch>
          <a:fillRect/>
        </a:stretch>
      </xdr:blipFill>
      <xdr:spPr>
        <a:xfrm>
          <a:off x="17402175" y="47625"/>
          <a:ext cx="1095375" cy="600075"/>
        </a:xfrm>
        <a:prstGeom prst="rect">
          <a:avLst/>
        </a:prstGeom>
        <a:noFill/>
        <a:ln w="9525" cmpd="sng">
          <a:noFill/>
        </a:ln>
      </xdr:spPr>
    </xdr:pic>
    <xdr:clientData/>
  </xdr:twoCellAnchor>
  <xdr:twoCellAnchor>
    <xdr:from>
      <xdr:col>9</xdr:col>
      <xdr:colOff>228600</xdr:colOff>
      <xdr:row>37</xdr:row>
      <xdr:rowOff>76200</xdr:rowOff>
    </xdr:from>
    <xdr:to>
      <xdr:col>10</xdr:col>
      <xdr:colOff>361950</xdr:colOff>
      <xdr:row>39</xdr:row>
      <xdr:rowOff>28575</xdr:rowOff>
    </xdr:to>
    <xdr:sp>
      <xdr:nvSpPr>
        <xdr:cNvPr id="8" name="AutoShape 24">
          <a:hlinkClick r:id="rId7"/>
        </xdr:cNvPr>
        <xdr:cNvSpPr>
          <a:spLocks/>
        </xdr:cNvSpPr>
      </xdr:nvSpPr>
      <xdr:spPr>
        <a:xfrm>
          <a:off x="5724525" y="6905625"/>
          <a:ext cx="571500" cy="276225"/>
        </a:xfrm>
        <a:prstGeom prst="rightArrow">
          <a:avLst/>
        </a:prstGeom>
        <a:solidFill>
          <a:srgbClr val="0000FF"/>
        </a:solidFill>
        <a:ln w="9525" cmpd="sng">
          <a:solidFill>
            <a:srgbClr val="FFFFFF"/>
          </a:solidFill>
          <a:headEnd type="none"/>
          <a:tailEnd type="none"/>
        </a:ln>
      </xdr:spPr>
      <xdr:txBody>
        <a:bodyPr vertOverflow="clip" wrap="square"/>
        <a:p>
          <a:pPr algn="ctr">
            <a:defRPr/>
          </a:pPr>
          <a:r>
            <a:rPr lang="en-US" cap="none" sz="800" b="0" i="0" u="none" baseline="0">
              <a:solidFill>
                <a:srgbClr val="FFFFFF"/>
              </a:solidFill>
              <a:latin typeface="Arial"/>
              <a:ea typeface="Arial"/>
              <a:cs typeface="Arial"/>
            </a:rPr>
            <a:t>weiter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381000</xdr:colOff>
      <xdr:row>0</xdr:row>
      <xdr:rowOff>28575</xdr:rowOff>
    </xdr:from>
    <xdr:to>
      <xdr:col>12</xdr:col>
      <xdr:colOff>714375</xdr:colOff>
      <xdr:row>3</xdr:row>
      <xdr:rowOff>142875</xdr:rowOff>
    </xdr:to>
    <xdr:pic>
      <xdr:nvPicPr>
        <xdr:cNvPr id="1" name="Picture 2"/>
        <xdr:cNvPicPr preferRelativeResize="1">
          <a:picLocks noChangeAspect="1"/>
        </xdr:cNvPicPr>
      </xdr:nvPicPr>
      <xdr:blipFill>
        <a:blip r:embed="rId1"/>
        <a:stretch>
          <a:fillRect/>
        </a:stretch>
      </xdr:blipFill>
      <xdr:spPr>
        <a:xfrm>
          <a:off x="8124825" y="28575"/>
          <a:ext cx="1095375" cy="600075"/>
        </a:xfrm>
        <a:prstGeom prst="rect">
          <a:avLst/>
        </a:prstGeom>
        <a:noFill/>
        <a:ln w="9525" cmpd="sng">
          <a:noFill/>
        </a:ln>
      </xdr:spPr>
    </xdr:pic>
    <xdr:clientData/>
  </xdr:twoCellAnchor>
  <xdr:twoCellAnchor editAs="oneCell">
    <xdr:from>
      <xdr:col>23</xdr:col>
      <xdr:colOff>400050</xdr:colOff>
      <xdr:row>0</xdr:row>
      <xdr:rowOff>19050</xdr:rowOff>
    </xdr:from>
    <xdr:to>
      <xdr:col>24</xdr:col>
      <xdr:colOff>733425</xdr:colOff>
      <xdr:row>3</xdr:row>
      <xdr:rowOff>133350</xdr:rowOff>
    </xdr:to>
    <xdr:pic>
      <xdr:nvPicPr>
        <xdr:cNvPr id="2" name="Picture 5"/>
        <xdr:cNvPicPr preferRelativeResize="1">
          <a:picLocks noChangeAspect="1"/>
        </xdr:cNvPicPr>
      </xdr:nvPicPr>
      <xdr:blipFill>
        <a:blip r:embed="rId1"/>
        <a:stretch>
          <a:fillRect/>
        </a:stretch>
      </xdr:blipFill>
      <xdr:spPr>
        <a:xfrm>
          <a:off x="17592675" y="19050"/>
          <a:ext cx="1095375" cy="600075"/>
        </a:xfrm>
        <a:prstGeom prst="rect">
          <a:avLst/>
        </a:prstGeom>
        <a:noFill/>
        <a:ln w="9525" cmpd="sng">
          <a:noFill/>
        </a:ln>
      </xdr:spPr>
    </xdr:pic>
    <xdr:clientData/>
  </xdr:twoCellAnchor>
  <xdr:twoCellAnchor>
    <xdr:from>
      <xdr:col>11</xdr:col>
      <xdr:colOff>419100</xdr:colOff>
      <xdr:row>5</xdr:row>
      <xdr:rowOff>28575</xdr:rowOff>
    </xdr:from>
    <xdr:to>
      <xdr:col>12</xdr:col>
      <xdr:colOff>676275</xdr:colOff>
      <xdr:row>6</xdr:row>
      <xdr:rowOff>104775</xdr:rowOff>
    </xdr:to>
    <xdr:sp>
      <xdr:nvSpPr>
        <xdr:cNvPr id="3" name="AutoShape 7">
          <a:hlinkClick r:id="rId2"/>
        </xdr:cNvPr>
        <xdr:cNvSpPr>
          <a:spLocks/>
        </xdr:cNvSpPr>
      </xdr:nvSpPr>
      <xdr:spPr>
        <a:xfrm>
          <a:off x="8162925" y="847725"/>
          <a:ext cx="1019175" cy="276225"/>
        </a:xfrm>
        <a:prstGeom prst="leftArrow">
          <a:avLst/>
        </a:prstGeom>
        <a:solidFill>
          <a:srgbClr val="0000FF"/>
        </a:solidFill>
        <a:ln w="9525" cmpd="sng">
          <a:solidFill>
            <a:srgbClr val="FFFFFF"/>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8</xdr:col>
      <xdr:colOff>19050</xdr:colOff>
      <xdr:row>17</xdr:row>
      <xdr:rowOff>0</xdr:rowOff>
    </xdr:from>
    <xdr:ext cx="295275" cy="190500"/>
    <xdr:sp>
      <xdr:nvSpPr>
        <xdr:cNvPr id="4" name="Rectangle 15">
          <a:hlinkClick r:id="rId3"/>
        </xdr:cNvPr>
        <xdr:cNvSpPr>
          <a:spLocks/>
        </xdr:cNvSpPr>
      </xdr:nvSpPr>
      <xdr:spPr>
        <a:xfrm>
          <a:off x="5534025" y="2838450"/>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8</xdr:col>
      <xdr:colOff>19050</xdr:colOff>
      <xdr:row>21</xdr:row>
      <xdr:rowOff>19050</xdr:rowOff>
    </xdr:from>
    <xdr:ext cx="295275" cy="190500"/>
    <xdr:sp>
      <xdr:nvSpPr>
        <xdr:cNvPr id="5" name="Rectangle 16">
          <a:hlinkClick r:id="rId4"/>
        </xdr:cNvPr>
        <xdr:cNvSpPr>
          <a:spLocks/>
        </xdr:cNvSpPr>
      </xdr:nvSpPr>
      <xdr:spPr>
        <a:xfrm>
          <a:off x="5534025" y="3638550"/>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8</xdr:col>
      <xdr:colOff>19050</xdr:colOff>
      <xdr:row>19</xdr:row>
      <xdr:rowOff>19050</xdr:rowOff>
    </xdr:from>
    <xdr:ext cx="295275" cy="190500"/>
    <xdr:sp>
      <xdr:nvSpPr>
        <xdr:cNvPr id="6" name="Rectangle 17">
          <a:hlinkClick r:id="rId5"/>
        </xdr:cNvPr>
        <xdr:cNvSpPr>
          <a:spLocks/>
        </xdr:cNvSpPr>
      </xdr:nvSpPr>
      <xdr:spPr>
        <a:xfrm>
          <a:off x="5534025" y="3248025"/>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8</xdr:col>
      <xdr:colOff>19050</xdr:colOff>
      <xdr:row>23</xdr:row>
      <xdr:rowOff>19050</xdr:rowOff>
    </xdr:from>
    <xdr:ext cx="295275" cy="190500"/>
    <xdr:sp>
      <xdr:nvSpPr>
        <xdr:cNvPr id="7" name="Rectangle 18">
          <a:hlinkClick r:id="rId6"/>
        </xdr:cNvPr>
        <xdr:cNvSpPr>
          <a:spLocks/>
        </xdr:cNvSpPr>
      </xdr:nvSpPr>
      <xdr:spPr>
        <a:xfrm>
          <a:off x="5534025" y="4029075"/>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10</xdr:col>
      <xdr:colOff>352425</xdr:colOff>
      <xdr:row>42</xdr:row>
      <xdr:rowOff>0</xdr:rowOff>
    </xdr:from>
    <xdr:ext cx="295275" cy="190500"/>
    <xdr:sp>
      <xdr:nvSpPr>
        <xdr:cNvPr id="8" name="Rectangle 19">
          <a:hlinkClick r:id="rId7"/>
        </xdr:cNvPr>
        <xdr:cNvSpPr>
          <a:spLocks/>
        </xdr:cNvSpPr>
      </xdr:nvSpPr>
      <xdr:spPr>
        <a:xfrm>
          <a:off x="7334250" y="7124700"/>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oneCellAnchor>
    <xdr:from>
      <xdr:col>9</xdr:col>
      <xdr:colOff>95250</xdr:colOff>
      <xdr:row>62</xdr:row>
      <xdr:rowOff>19050</xdr:rowOff>
    </xdr:from>
    <xdr:ext cx="295275" cy="190500"/>
    <xdr:sp>
      <xdr:nvSpPr>
        <xdr:cNvPr id="9" name="Rectangle 20">
          <a:hlinkClick r:id="rId8"/>
        </xdr:cNvPr>
        <xdr:cNvSpPr>
          <a:spLocks/>
        </xdr:cNvSpPr>
      </xdr:nvSpPr>
      <xdr:spPr>
        <a:xfrm>
          <a:off x="6372225" y="10515600"/>
          <a:ext cx="295275" cy="190500"/>
        </a:xfrm>
        <a:prstGeom prst="rect">
          <a:avLst/>
        </a:prstGeom>
        <a:solidFill>
          <a:srgbClr val="FF00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Def.</a:t>
          </a:r>
        </a:p>
      </xdr:txBody>
    </xdr:sp>
    <xdr:clientData/>
  </xdr:oneCellAnchor>
  <xdr:twoCellAnchor editAs="oneCell">
    <xdr:from>
      <xdr:col>11</xdr:col>
      <xdr:colOff>381000</xdr:colOff>
      <xdr:row>38</xdr:row>
      <xdr:rowOff>28575</xdr:rowOff>
    </xdr:from>
    <xdr:to>
      <xdr:col>12</xdr:col>
      <xdr:colOff>714375</xdr:colOff>
      <xdr:row>41</xdr:row>
      <xdr:rowOff>142875</xdr:rowOff>
    </xdr:to>
    <xdr:pic>
      <xdr:nvPicPr>
        <xdr:cNvPr id="10" name="Picture 22"/>
        <xdr:cNvPicPr preferRelativeResize="1">
          <a:picLocks noChangeAspect="1"/>
        </xdr:cNvPicPr>
      </xdr:nvPicPr>
      <xdr:blipFill>
        <a:blip r:embed="rId1"/>
        <a:stretch>
          <a:fillRect/>
        </a:stretch>
      </xdr:blipFill>
      <xdr:spPr>
        <a:xfrm>
          <a:off x="8124825" y="6505575"/>
          <a:ext cx="1095375" cy="600075"/>
        </a:xfrm>
        <a:prstGeom prst="rect">
          <a:avLst/>
        </a:prstGeom>
        <a:noFill/>
        <a:ln w="9525" cmpd="sng">
          <a:noFill/>
        </a:ln>
      </xdr:spPr>
    </xdr:pic>
    <xdr:clientData/>
  </xdr:twoCellAnchor>
  <xdr:twoCellAnchor editAs="oneCell">
    <xdr:from>
      <xdr:col>23</xdr:col>
      <xdr:colOff>400050</xdr:colOff>
      <xdr:row>38</xdr:row>
      <xdr:rowOff>19050</xdr:rowOff>
    </xdr:from>
    <xdr:to>
      <xdr:col>24</xdr:col>
      <xdr:colOff>733425</xdr:colOff>
      <xdr:row>41</xdr:row>
      <xdr:rowOff>133350</xdr:rowOff>
    </xdr:to>
    <xdr:pic>
      <xdr:nvPicPr>
        <xdr:cNvPr id="11" name="Picture 23"/>
        <xdr:cNvPicPr preferRelativeResize="1">
          <a:picLocks noChangeAspect="1"/>
        </xdr:cNvPicPr>
      </xdr:nvPicPr>
      <xdr:blipFill>
        <a:blip r:embed="rId1"/>
        <a:stretch>
          <a:fillRect/>
        </a:stretch>
      </xdr:blipFill>
      <xdr:spPr>
        <a:xfrm>
          <a:off x="17592675" y="6496050"/>
          <a:ext cx="1095375" cy="600075"/>
        </a:xfrm>
        <a:prstGeom prst="rect">
          <a:avLst/>
        </a:prstGeom>
        <a:noFill/>
        <a:ln w="9525" cmpd="sng">
          <a:noFill/>
        </a:ln>
      </xdr:spPr>
    </xdr:pic>
    <xdr:clientData/>
  </xdr:twoCellAnchor>
  <xdr:twoCellAnchor>
    <xdr:from>
      <xdr:col>11</xdr:col>
      <xdr:colOff>723900</xdr:colOff>
      <xdr:row>62</xdr:row>
      <xdr:rowOff>85725</xdr:rowOff>
    </xdr:from>
    <xdr:to>
      <xdr:col>12</xdr:col>
      <xdr:colOff>533400</xdr:colOff>
      <xdr:row>64</xdr:row>
      <xdr:rowOff>47625</xdr:rowOff>
    </xdr:to>
    <xdr:sp>
      <xdr:nvSpPr>
        <xdr:cNvPr id="12" name="AutoShape 25">
          <a:hlinkClick r:id="rId9"/>
        </xdr:cNvPr>
        <xdr:cNvSpPr>
          <a:spLocks/>
        </xdr:cNvSpPr>
      </xdr:nvSpPr>
      <xdr:spPr>
        <a:xfrm>
          <a:off x="8467725" y="10582275"/>
          <a:ext cx="571500" cy="323850"/>
        </a:xfrm>
        <a:prstGeom prst="rightArrow">
          <a:avLst/>
        </a:prstGeom>
        <a:solidFill>
          <a:srgbClr val="0000FF"/>
        </a:solidFill>
        <a:ln w="9525" cmpd="sng">
          <a:solidFill>
            <a:srgbClr val="FFFFFF"/>
          </a:solidFill>
          <a:headEnd type="none"/>
          <a:tailEnd type="none"/>
        </a:ln>
      </xdr:spPr>
      <xdr:txBody>
        <a:bodyPr vertOverflow="clip" wrap="square"/>
        <a:p>
          <a:pPr algn="ctr">
            <a:defRPr/>
          </a:pPr>
          <a:r>
            <a:rPr lang="en-US" cap="none" sz="800" b="0" i="0" u="none" baseline="0">
              <a:solidFill>
                <a:srgbClr val="FFFFFF"/>
              </a:solidFill>
              <a:latin typeface="Arial"/>
              <a:ea typeface="Arial"/>
              <a:cs typeface="Arial"/>
            </a:rPr>
            <a:t>weiter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7"/>
  <sheetViews>
    <sheetView showGridLines="0" workbookViewId="0" topLeftCell="A1">
      <selection activeCell="A1" sqref="A1"/>
    </sheetView>
  </sheetViews>
  <sheetFormatPr defaultColWidth="11.421875" defaultRowHeight="12.75"/>
  <cols>
    <col min="1" max="1" width="8.140625" style="2" customWidth="1"/>
    <col min="2" max="2" width="10.8515625" style="1" customWidth="1"/>
    <col min="3" max="4" width="12.28125" style="1" customWidth="1"/>
    <col min="5" max="11" width="11.421875" style="1" customWidth="1"/>
    <col min="12" max="12" width="18.28125" style="1" customWidth="1"/>
    <col min="13" max="16384" width="11.421875" style="1" customWidth="1"/>
  </cols>
  <sheetData>
    <row r="1" spans="1:12" ht="15">
      <c r="A1" s="29"/>
      <c r="B1" s="4"/>
      <c r="C1" s="4"/>
      <c r="D1" s="4"/>
      <c r="E1" s="4"/>
      <c r="F1" s="4"/>
      <c r="G1" s="4"/>
      <c r="H1" s="4"/>
      <c r="I1" s="4"/>
      <c r="J1" s="4"/>
      <c r="K1" s="4"/>
      <c r="L1" s="5"/>
    </row>
    <row r="2" spans="1:12" ht="12.75">
      <c r="A2" s="16"/>
      <c r="B2" s="7"/>
      <c r="C2" s="7"/>
      <c r="D2" s="7"/>
      <c r="E2" s="7"/>
      <c r="F2" s="69"/>
      <c r="G2" s="7"/>
      <c r="H2" s="70"/>
      <c r="I2" s="7"/>
      <c r="J2" s="7"/>
      <c r="K2" s="7"/>
      <c r="L2" s="8"/>
    </row>
    <row r="3" spans="1:12" ht="12.75">
      <c r="A3" s="76"/>
      <c r="B3" s="12"/>
      <c r="C3" s="7"/>
      <c r="D3" s="7"/>
      <c r="E3" s="7"/>
      <c r="F3" s="69"/>
      <c r="G3" s="7"/>
      <c r="H3" s="70"/>
      <c r="I3" s="7"/>
      <c r="J3" s="7"/>
      <c r="K3" s="7"/>
      <c r="L3" s="8"/>
    </row>
    <row r="4" spans="1:12" ht="12.75">
      <c r="A4" s="76"/>
      <c r="B4" s="12"/>
      <c r="C4" s="186"/>
      <c r="D4" s="187"/>
      <c r="E4" s="187"/>
      <c r="F4" s="187"/>
      <c r="G4" s="187"/>
      <c r="H4" s="188"/>
      <c r="I4" s="187"/>
      <c r="J4" s="187"/>
      <c r="K4" s="189"/>
      <c r="L4" s="8"/>
    </row>
    <row r="5" spans="1:12" ht="12.75">
      <c r="A5" s="76"/>
      <c r="B5" s="12"/>
      <c r="C5" s="190"/>
      <c r="D5" s="191"/>
      <c r="E5" s="191"/>
      <c r="F5" s="191"/>
      <c r="G5" s="191"/>
      <c r="H5" s="192"/>
      <c r="I5" s="191"/>
      <c r="J5" s="191"/>
      <c r="K5" s="193"/>
      <c r="L5" s="8"/>
    </row>
    <row r="6" spans="1:12" ht="12.75">
      <c r="A6" s="11"/>
      <c r="B6" s="7"/>
      <c r="C6" s="190"/>
      <c r="D6" s="191"/>
      <c r="E6" s="191"/>
      <c r="F6" s="191"/>
      <c r="G6" s="191"/>
      <c r="H6" s="192"/>
      <c r="I6" s="191"/>
      <c r="J6" s="191"/>
      <c r="K6" s="193"/>
      <c r="L6" s="8"/>
    </row>
    <row r="7" spans="1:12" ht="12.75">
      <c r="A7" s="11"/>
      <c r="B7" s="7"/>
      <c r="C7" s="190"/>
      <c r="D7" s="191"/>
      <c r="E7" s="191"/>
      <c r="F7" s="191"/>
      <c r="G7" s="191"/>
      <c r="H7" s="192"/>
      <c r="I7" s="191"/>
      <c r="J7" s="191"/>
      <c r="K7" s="193"/>
      <c r="L7" s="8"/>
    </row>
    <row r="8" spans="1:12" ht="12.75">
      <c r="A8" s="6"/>
      <c r="B8" s="7"/>
      <c r="C8" s="190"/>
      <c r="D8" s="191"/>
      <c r="E8" s="191"/>
      <c r="F8" s="191"/>
      <c r="G8" s="191"/>
      <c r="H8" s="194"/>
      <c r="I8" s="191"/>
      <c r="J8" s="191"/>
      <c r="K8" s="193"/>
      <c r="L8" s="8"/>
    </row>
    <row r="9" spans="1:12" ht="33">
      <c r="A9" s="6"/>
      <c r="B9" s="7"/>
      <c r="C9" s="211" t="s">
        <v>37</v>
      </c>
      <c r="D9" s="202"/>
      <c r="E9" s="202"/>
      <c r="F9" s="202"/>
      <c r="G9" s="202"/>
      <c r="H9" s="203"/>
      <c r="I9" s="202"/>
      <c r="J9" s="202"/>
      <c r="K9" s="204"/>
      <c r="L9" s="8"/>
    </row>
    <row r="10" spans="1:12" ht="33">
      <c r="A10" s="76"/>
      <c r="B10" s="12"/>
      <c r="C10" s="205" t="s">
        <v>38</v>
      </c>
      <c r="D10" s="202"/>
      <c r="E10" s="202"/>
      <c r="F10" s="202"/>
      <c r="G10" s="202"/>
      <c r="H10" s="203"/>
      <c r="I10" s="202"/>
      <c r="J10" s="202"/>
      <c r="K10" s="204"/>
      <c r="L10" s="8"/>
    </row>
    <row r="11" spans="1:12" ht="33">
      <c r="A11" s="76"/>
      <c r="B11" s="12"/>
      <c r="C11" s="205" t="s">
        <v>39</v>
      </c>
      <c r="D11" s="202"/>
      <c r="E11" s="202"/>
      <c r="F11" s="202"/>
      <c r="G11" s="202"/>
      <c r="H11" s="203"/>
      <c r="I11" s="202"/>
      <c r="J11" s="202"/>
      <c r="K11" s="204"/>
      <c r="L11" s="8"/>
    </row>
    <row r="12" spans="1:12" ht="12.75">
      <c r="A12" s="76"/>
      <c r="B12" s="12"/>
      <c r="C12" s="195"/>
      <c r="D12" s="191"/>
      <c r="E12" s="191"/>
      <c r="F12" s="191"/>
      <c r="G12" s="191"/>
      <c r="H12" s="192"/>
      <c r="I12" s="191"/>
      <c r="J12" s="191"/>
      <c r="K12" s="193"/>
      <c r="L12" s="8"/>
    </row>
    <row r="13" spans="1:12" ht="12.75">
      <c r="A13" s="76"/>
      <c r="B13" s="12"/>
      <c r="C13" s="195"/>
      <c r="D13" s="191"/>
      <c r="E13" s="191"/>
      <c r="F13" s="191"/>
      <c r="G13" s="191"/>
      <c r="H13" s="192"/>
      <c r="I13" s="191"/>
      <c r="J13" s="191"/>
      <c r="K13" s="193"/>
      <c r="L13" s="8"/>
    </row>
    <row r="14" spans="1:12" ht="12.75">
      <c r="A14" s="76"/>
      <c r="B14" s="12"/>
      <c r="C14" s="195"/>
      <c r="D14" s="191"/>
      <c r="E14" s="191"/>
      <c r="F14" s="191"/>
      <c r="G14" s="191"/>
      <c r="H14" s="192"/>
      <c r="I14" s="191"/>
      <c r="J14" s="191"/>
      <c r="K14" s="193"/>
      <c r="L14" s="8"/>
    </row>
    <row r="15" spans="1:12" ht="12.75">
      <c r="A15" s="76"/>
      <c r="B15" s="12"/>
      <c r="C15" s="195"/>
      <c r="D15" s="191"/>
      <c r="E15" s="191"/>
      <c r="F15" s="191"/>
      <c r="G15" s="191"/>
      <c r="H15" s="192"/>
      <c r="I15" s="191"/>
      <c r="J15" s="191"/>
      <c r="K15" s="193"/>
      <c r="L15" s="8"/>
    </row>
    <row r="16" spans="1:12" ht="12.75">
      <c r="A16" s="76"/>
      <c r="B16" s="12"/>
      <c r="C16" s="195"/>
      <c r="D16" s="191"/>
      <c r="E16" s="191"/>
      <c r="F16" s="191"/>
      <c r="G16" s="191"/>
      <c r="H16" s="192"/>
      <c r="I16" s="191"/>
      <c r="J16" s="191"/>
      <c r="K16" s="193"/>
      <c r="L16" s="8"/>
    </row>
    <row r="17" spans="1:12" ht="12.75">
      <c r="A17" s="76"/>
      <c r="B17" s="12"/>
      <c r="C17" s="195"/>
      <c r="D17" s="191"/>
      <c r="E17" s="191"/>
      <c r="F17" s="191"/>
      <c r="G17" s="191"/>
      <c r="H17" s="192"/>
      <c r="I17" s="191"/>
      <c r="J17" s="191"/>
      <c r="K17" s="193"/>
      <c r="L17" s="8"/>
    </row>
    <row r="18" spans="1:12" ht="12.75">
      <c r="A18" s="76"/>
      <c r="B18" s="12"/>
      <c r="C18" s="195"/>
      <c r="D18" s="191"/>
      <c r="E18" s="191"/>
      <c r="F18" s="191"/>
      <c r="G18" s="191"/>
      <c r="H18" s="192"/>
      <c r="I18" s="191"/>
      <c r="J18" s="191"/>
      <c r="K18" s="193"/>
      <c r="L18" s="8"/>
    </row>
    <row r="19" spans="1:12" ht="12.75">
      <c r="A19" s="76"/>
      <c r="B19" s="12"/>
      <c r="C19" s="195"/>
      <c r="D19" s="191"/>
      <c r="E19" s="191"/>
      <c r="F19" s="191"/>
      <c r="G19" s="191"/>
      <c r="H19" s="192"/>
      <c r="I19" s="191"/>
      <c r="J19" s="191"/>
      <c r="K19" s="193"/>
      <c r="L19" s="8"/>
    </row>
    <row r="20" spans="1:12" ht="12.75">
      <c r="A20" s="11"/>
      <c r="B20" s="7"/>
      <c r="C20" s="190"/>
      <c r="D20" s="191"/>
      <c r="E20" s="191"/>
      <c r="F20" s="196"/>
      <c r="G20" s="191"/>
      <c r="H20" s="192"/>
      <c r="I20" s="191"/>
      <c r="J20" s="191"/>
      <c r="K20" s="193"/>
      <c r="L20" s="8"/>
    </row>
    <row r="21" spans="1:12" ht="12.75">
      <c r="A21" s="6"/>
      <c r="B21" s="7"/>
      <c r="C21" s="190"/>
      <c r="D21" s="191"/>
      <c r="E21" s="191"/>
      <c r="F21" s="196"/>
      <c r="G21" s="191"/>
      <c r="H21" s="192"/>
      <c r="I21" s="191"/>
      <c r="J21" s="191"/>
      <c r="K21" s="193"/>
      <c r="L21" s="8"/>
    </row>
    <row r="22" spans="1:12" ht="12.75">
      <c r="A22" s="76"/>
      <c r="B22" s="12"/>
      <c r="C22" s="195"/>
      <c r="D22" s="191"/>
      <c r="E22" s="191"/>
      <c r="F22" s="191"/>
      <c r="G22" s="191"/>
      <c r="H22" s="192"/>
      <c r="I22" s="191"/>
      <c r="J22" s="191"/>
      <c r="K22" s="193"/>
      <c r="L22" s="8"/>
    </row>
    <row r="23" spans="1:12" ht="24">
      <c r="A23" s="76"/>
      <c r="B23" s="12"/>
      <c r="C23" s="206" t="s">
        <v>42</v>
      </c>
      <c r="D23" s="207"/>
      <c r="E23" s="207"/>
      <c r="F23" s="207"/>
      <c r="G23" s="207"/>
      <c r="H23" s="208"/>
      <c r="I23" s="207"/>
      <c r="J23" s="207"/>
      <c r="K23" s="209"/>
      <c r="L23" s="8"/>
    </row>
    <row r="24" spans="1:12" ht="24">
      <c r="A24" s="76"/>
      <c r="B24" s="12"/>
      <c r="C24" s="206" t="s">
        <v>41</v>
      </c>
      <c r="D24" s="207"/>
      <c r="E24" s="207"/>
      <c r="F24" s="207"/>
      <c r="G24" s="207"/>
      <c r="H24" s="208"/>
      <c r="I24" s="207"/>
      <c r="J24" s="207"/>
      <c r="K24" s="209"/>
      <c r="L24" s="8"/>
    </row>
    <row r="25" spans="1:12" ht="12.75">
      <c r="A25" s="76"/>
      <c r="B25" s="12"/>
      <c r="C25" s="195"/>
      <c r="D25" s="191"/>
      <c r="E25" s="191"/>
      <c r="F25" s="196"/>
      <c r="G25" s="191"/>
      <c r="H25" s="192"/>
      <c r="I25" s="191"/>
      <c r="J25" s="191"/>
      <c r="K25" s="193"/>
      <c r="L25" s="8"/>
    </row>
    <row r="26" spans="1:12" ht="12.75">
      <c r="A26" s="76"/>
      <c r="B26" s="12"/>
      <c r="C26" s="195"/>
      <c r="D26" s="191"/>
      <c r="E26" s="191"/>
      <c r="F26" s="196"/>
      <c r="G26" s="191"/>
      <c r="H26" s="192"/>
      <c r="I26" s="191"/>
      <c r="J26" s="191"/>
      <c r="K26" s="193"/>
      <c r="L26" s="8"/>
    </row>
    <row r="27" spans="1:12" ht="12.75">
      <c r="A27" s="6"/>
      <c r="B27" s="12"/>
      <c r="C27" s="190"/>
      <c r="D27" s="191"/>
      <c r="E27" s="191"/>
      <c r="F27" s="196"/>
      <c r="G27" s="191"/>
      <c r="H27" s="192"/>
      <c r="I27" s="191"/>
      <c r="J27" s="191"/>
      <c r="K27" s="193"/>
      <c r="L27" s="8"/>
    </row>
    <row r="28" spans="1:12" ht="12.75">
      <c r="A28" s="76"/>
      <c r="B28" s="12"/>
      <c r="C28" s="195"/>
      <c r="D28" s="191"/>
      <c r="E28" s="191"/>
      <c r="F28" s="191"/>
      <c r="G28" s="191"/>
      <c r="H28" s="192"/>
      <c r="I28" s="191"/>
      <c r="J28" s="191"/>
      <c r="K28" s="193"/>
      <c r="L28" s="8"/>
    </row>
    <row r="29" spans="1:12" ht="12.75">
      <c r="A29" s="76"/>
      <c r="B29" s="12"/>
      <c r="C29" s="195"/>
      <c r="D29" s="191"/>
      <c r="E29" s="191"/>
      <c r="F29" s="191"/>
      <c r="G29" s="191"/>
      <c r="H29" s="192"/>
      <c r="I29" s="191"/>
      <c r="J29" s="191"/>
      <c r="K29" s="193"/>
      <c r="L29" s="8"/>
    </row>
    <row r="30" spans="1:12" ht="12.75">
      <c r="A30" s="6"/>
      <c r="B30" s="12"/>
      <c r="C30" s="195"/>
      <c r="D30" s="191"/>
      <c r="E30" s="191"/>
      <c r="F30" s="196"/>
      <c r="G30" s="191"/>
      <c r="H30" s="192"/>
      <c r="I30" s="191"/>
      <c r="J30" s="191"/>
      <c r="K30" s="193"/>
      <c r="L30" s="8"/>
    </row>
    <row r="31" spans="1:12" ht="12.75">
      <c r="A31" s="76"/>
      <c r="B31" s="12"/>
      <c r="C31" s="212" t="s">
        <v>40</v>
      </c>
      <c r="D31" s="202"/>
      <c r="E31" s="202"/>
      <c r="F31" s="210"/>
      <c r="G31" s="202"/>
      <c r="H31" s="203"/>
      <c r="I31" s="202"/>
      <c r="J31" s="202"/>
      <c r="K31" s="204"/>
      <c r="L31" s="8"/>
    </row>
    <row r="32" spans="1:12" ht="12.75">
      <c r="A32" s="11"/>
      <c r="B32" s="7"/>
      <c r="C32" s="190"/>
      <c r="D32" s="191"/>
      <c r="E32" s="191"/>
      <c r="F32" s="196"/>
      <c r="G32" s="191"/>
      <c r="H32" s="192"/>
      <c r="I32" s="191"/>
      <c r="J32" s="191"/>
      <c r="K32" s="193"/>
      <c r="L32" s="8"/>
    </row>
    <row r="33" spans="1:12" ht="12.75">
      <c r="A33" s="6"/>
      <c r="B33" s="7"/>
      <c r="C33" s="197"/>
      <c r="D33" s="198"/>
      <c r="E33" s="198"/>
      <c r="F33" s="199"/>
      <c r="G33" s="198"/>
      <c r="H33" s="200"/>
      <c r="I33" s="198"/>
      <c r="J33" s="198"/>
      <c r="K33" s="201"/>
      <c r="L33" s="8"/>
    </row>
    <row r="34" spans="1:12" ht="54.75" customHeight="1">
      <c r="A34" s="18"/>
      <c r="B34" s="19"/>
      <c r="C34" s="19"/>
      <c r="D34" s="19"/>
      <c r="E34" s="19"/>
      <c r="F34" s="19"/>
      <c r="G34" s="19"/>
      <c r="H34" s="19"/>
      <c r="I34" s="19"/>
      <c r="J34" s="19"/>
      <c r="K34" s="19"/>
      <c r="L34" s="20"/>
    </row>
    <row r="37" ht="12.75">
      <c r="E37" s="1" t="s">
        <v>55</v>
      </c>
    </row>
  </sheetData>
  <sheetProtection password="CF5B" sheet="1" objects="1" scenarios="1" selectLockedCells="1"/>
  <printOptions/>
  <pageMargins left="0.3937007874015748" right="0.3937007874015748" top="0.3937007874015748" bottom="0.1968503937007874" header="0.11811023622047245" footer="0.5118110236220472"/>
  <pageSetup fitToWidth="2"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Z28"/>
  <sheetViews>
    <sheetView showGridLines="0" workbookViewId="0" topLeftCell="A1">
      <selection activeCell="F11" sqref="F11"/>
    </sheetView>
  </sheetViews>
  <sheetFormatPr defaultColWidth="11.421875" defaultRowHeight="12.75"/>
  <cols>
    <col min="1" max="1" width="8.140625" style="2" customWidth="1"/>
    <col min="2" max="2" width="11.28125" style="1" customWidth="1"/>
    <col min="3" max="8" width="18.421875" style="1" customWidth="1"/>
    <col min="9" max="9" width="11.421875" style="1" customWidth="1"/>
    <col min="10" max="10" width="4.00390625" style="1" customWidth="1"/>
    <col min="11" max="11" width="23.28125" style="1" customWidth="1"/>
    <col min="12" max="13" width="11.421875" style="1" customWidth="1"/>
    <col min="14" max="14" width="11.57421875" style="1" bestFit="1" customWidth="1"/>
    <col min="15" max="15" width="11.421875" style="1" customWidth="1"/>
    <col min="16" max="16" width="11.421875" style="3" customWidth="1"/>
    <col min="17" max="24" width="11.421875" style="1" customWidth="1"/>
    <col min="25" max="25" width="11.421875" style="1" hidden="1" customWidth="1"/>
    <col min="26" max="16384" width="11.421875" style="1" customWidth="1"/>
  </cols>
  <sheetData>
    <row r="1" spans="1:21" ht="15.75">
      <c r="A1" s="29" t="str">
        <f>Allgemeines!A1</f>
        <v>Steirischer Abfallspiegel - Datenerhebung</v>
      </c>
      <c r="B1" s="4"/>
      <c r="C1" s="4"/>
      <c r="D1" s="4"/>
      <c r="E1" s="4"/>
      <c r="F1" s="4"/>
      <c r="G1" s="4"/>
      <c r="H1" s="4"/>
      <c r="I1" s="5"/>
      <c r="J1" s="118" t="s">
        <v>383</v>
      </c>
      <c r="K1" s="119"/>
      <c r="L1" s="119"/>
      <c r="M1" s="119"/>
      <c r="N1" s="119"/>
      <c r="O1" s="119"/>
      <c r="P1" s="145"/>
      <c r="Q1" s="119"/>
      <c r="R1" s="119"/>
      <c r="S1" s="119"/>
      <c r="T1" s="119"/>
      <c r="U1" s="122"/>
    </row>
    <row r="2" spans="1:21" ht="12.75">
      <c r="A2" s="6" t="s">
        <v>77</v>
      </c>
      <c r="B2" s="7"/>
      <c r="C2" s="21">
        <f>IF(Allgemeines!F12="","Unter Allgemeines wurde kein Untersuchungsjahr ausgewählt!",Allgemeines!F12)</f>
        <v>2008</v>
      </c>
      <c r="D2" s="7"/>
      <c r="E2" s="7"/>
      <c r="F2" s="7"/>
      <c r="G2" s="7"/>
      <c r="H2" s="7"/>
      <c r="I2" s="8"/>
      <c r="J2" s="123"/>
      <c r="K2" s="124"/>
      <c r="L2" s="124"/>
      <c r="M2" s="124"/>
      <c r="N2" s="124"/>
      <c r="O2" s="124"/>
      <c r="P2" s="134"/>
      <c r="Q2" s="124"/>
      <c r="R2" s="124"/>
      <c r="S2" s="124"/>
      <c r="T2" s="124"/>
      <c r="U2" s="127"/>
    </row>
    <row r="3" spans="1:21" ht="12.75">
      <c r="A3" s="6"/>
      <c r="B3" s="7"/>
      <c r="C3" s="7"/>
      <c r="D3" s="7"/>
      <c r="E3" s="7"/>
      <c r="F3" s="7"/>
      <c r="G3" s="7"/>
      <c r="H3" s="7"/>
      <c r="I3" s="8"/>
      <c r="J3" s="123"/>
      <c r="K3" s="124"/>
      <c r="L3" s="124"/>
      <c r="M3" s="124"/>
      <c r="N3" s="124"/>
      <c r="O3" s="124"/>
      <c r="P3" s="134"/>
      <c r="Q3" s="124"/>
      <c r="R3" s="124"/>
      <c r="S3" s="124"/>
      <c r="T3" s="124"/>
      <c r="U3" s="127"/>
    </row>
    <row r="4" spans="1:26" ht="15.75">
      <c r="A4" s="9" t="s">
        <v>359</v>
      </c>
      <c r="B4" s="10"/>
      <c r="C4" s="10"/>
      <c r="D4" s="7"/>
      <c r="E4" s="7"/>
      <c r="F4" s="7"/>
      <c r="G4" s="7"/>
      <c r="H4" s="7"/>
      <c r="I4" s="8"/>
      <c r="J4" s="123"/>
      <c r="K4" s="124"/>
      <c r="L4" s="124"/>
      <c r="M4" s="124"/>
      <c r="N4" s="124"/>
      <c r="O4" s="124"/>
      <c r="P4" s="134"/>
      <c r="Q4" s="124"/>
      <c r="R4" s="124"/>
      <c r="S4" s="124"/>
      <c r="T4" s="124"/>
      <c r="U4" s="127"/>
      <c r="X4" s="43"/>
      <c r="Z4" s="43"/>
    </row>
    <row r="5" spans="1:25" ht="12.75">
      <c r="A5" s="11"/>
      <c r="B5" s="7"/>
      <c r="C5" s="7"/>
      <c r="D5" s="7"/>
      <c r="E5" s="7"/>
      <c r="F5" s="7"/>
      <c r="G5" s="7"/>
      <c r="H5" s="7"/>
      <c r="I5" s="72">
        <f>Altstoffsammelzentrum!M43+1</f>
        <v>8</v>
      </c>
      <c r="J5" s="123"/>
      <c r="K5" s="124"/>
      <c r="L5" s="124"/>
      <c r="M5" s="124"/>
      <c r="N5" s="124"/>
      <c r="O5" s="124"/>
      <c r="P5" s="134"/>
      <c r="Q5" s="124"/>
      <c r="R5" s="124"/>
      <c r="S5" s="124"/>
      <c r="T5" s="124"/>
      <c r="U5" s="127"/>
      <c r="Y5" s="1">
        <v>2004</v>
      </c>
    </row>
    <row r="6" spans="1:21" ht="15.75">
      <c r="A6" s="9" t="s">
        <v>371</v>
      </c>
      <c r="B6" s="12" t="s">
        <v>395</v>
      </c>
      <c r="C6" s="7"/>
      <c r="D6" s="7"/>
      <c r="E6" s="7"/>
      <c r="F6" s="7"/>
      <c r="G6" s="7"/>
      <c r="H6" s="7"/>
      <c r="I6" s="8"/>
      <c r="J6" s="123"/>
      <c r="K6" s="124"/>
      <c r="L6" s="124"/>
      <c r="M6" s="124"/>
      <c r="N6" s="124"/>
      <c r="O6" s="124"/>
      <c r="P6" s="134"/>
      <c r="Q6" s="124"/>
      <c r="R6" s="124"/>
      <c r="S6" s="124"/>
      <c r="T6" s="124"/>
      <c r="U6" s="127"/>
    </row>
    <row r="7" spans="1:21" ht="12.75">
      <c r="A7" s="11"/>
      <c r="B7" s="15" t="s">
        <v>370</v>
      </c>
      <c r="C7" s="7"/>
      <c r="D7" s="7"/>
      <c r="E7" s="7"/>
      <c r="F7" s="7"/>
      <c r="G7" s="7"/>
      <c r="H7" s="7"/>
      <c r="I7" s="8"/>
      <c r="J7" s="123"/>
      <c r="K7" s="124"/>
      <c r="L7" s="124"/>
      <c r="M7" s="124"/>
      <c r="N7" s="124"/>
      <c r="O7" s="124"/>
      <c r="P7" s="134"/>
      <c r="Q7" s="124"/>
      <c r="R7" s="124"/>
      <c r="S7" s="124"/>
      <c r="T7" s="124"/>
      <c r="U7" s="127"/>
    </row>
    <row r="8" spans="1:21" ht="15.75">
      <c r="A8" s="9"/>
      <c r="B8" s="91" t="s">
        <v>360</v>
      </c>
      <c r="C8" s="5"/>
      <c r="D8" s="215" t="s">
        <v>399</v>
      </c>
      <c r="E8" s="219" t="s">
        <v>397</v>
      </c>
      <c r="F8" s="213" t="s">
        <v>398</v>
      </c>
      <c r="G8" s="88"/>
      <c r="H8" s="88"/>
      <c r="I8" s="8"/>
      <c r="J8" s="123"/>
      <c r="K8" s="134" t="s">
        <v>400</v>
      </c>
      <c r="L8" s="124"/>
      <c r="M8" s="124"/>
      <c r="N8" s="156">
        <f>IF(OR(D25=0,SUM(E25,H25)=0),"",(SUM(E25,H25)/D25)*100)</f>
      </c>
      <c r="O8" s="124" t="s">
        <v>97</v>
      </c>
      <c r="P8" s="134"/>
      <c r="Q8" s="124"/>
      <c r="R8" s="124"/>
      <c r="S8" s="124"/>
      <c r="T8" s="124"/>
      <c r="U8" s="127"/>
    </row>
    <row r="9" spans="1:25" ht="15.75">
      <c r="A9" s="9"/>
      <c r="B9" s="92"/>
      <c r="C9" s="8"/>
      <c r="D9" s="216"/>
      <c r="E9" s="220" t="s">
        <v>361</v>
      </c>
      <c r="F9" s="218" t="s">
        <v>362</v>
      </c>
      <c r="G9" s="86" t="s">
        <v>363</v>
      </c>
      <c r="H9" s="86" t="s">
        <v>364</v>
      </c>
      <c r="I9" s="8"/>
      <c r="J9" s="123"/>
      <c r="K9" s="126" t="str">
        <f>IF(D25=0,"Angaben zu den Gesamtkosten fehlen!","")</f>
        <v>Angaben zu den Gesamtkosten fehlen!</v>
      </c>
      <c r="L9" s="124"/>
      <c r="M9" s="124"/>
      <c r="N9" s="124"/>
      <c r="O9" s="126" t="str">
        <f>IF(E25=0,"Keine Erlöse/Einnahmen vorhanden?","")</f>
        <v>Keine Erlöse/Einnahmen vorhanden?</v>
      </c>
      <c r="P9" s="134"/>
      <c r="Q9" s="124"/>
      <c r="R9" s="126" t="str">
        <f>IF(H25=0,"Angaben zu Gebühren fehlen!","")</f>
        <v>Angaben zu Gebühren fehlen!</v>
      </c>
      <c r="S9" s="124"/>
      <c r="T9" s="124"/>
      <c r="U9" s="127"/>
      <c r="Y9" s="1">
        <v>2005</v>
      </c>
    </row>
    <row r="10" spans="1:25" ht="12.75">
      <c r="A10" s="11"/>
      <c r="B10" s="93"/>
      <c r="C10" s="20"/>
      <c r="D10" s="217" t="s">
        <v>365</v>
      </c>
      <c r="E10" s="221" t="s">
        <v>365</v>
      </c>
      <c r="F10" s="214" t="s">
        <v>365</v>
      </c>
      <c r="G10" s="87" t="s">
        <v>365</v>
      </c>
      <c r="H10" s="87" t="s">
        <v>365</v>
      </c>
      <c r="I10" s="8"/>
      <c r="J10" s="123"/>
      <c r="K10" s="124"/>
      <c r="L10" s="124"/>
      <c r="M10" s="124"/>
      <c r="N10" s="124"/>
      <c r="O10" s="124"/>
      <c r="P10" s="134"/>
      <c r="Q10" s="124"/>
      <c r="R10" s="124"/>
      <c r="S10" s="124"/>
      <c r="T10" s="124"/>
      <c r="U10" s="127"/>
      <c r="Y10" s="1">
        <v>2007</v>
      </c>
    </row>
    <row r="11" spans="1:25" ht="12.75">
      <c r="A11" s="11"/>
      <c r="B11" s="89" t="s">
        <v>550</v>
      </c>
      <c r="C11" s="90"/>
      <c r="D11" s="223" t="str">
        <f>IF(Restabfall!AD41=0,"k. A. unter 2.3",Restabfall!AD41)</f>
        <v>k. A. unter 2.3</v>
      </c>
      <c r="E11" s="224" t="s">
        <v>410</v>
      </c>
      <c r="F11" s="225"/>
      <c r="G11" s="226"/>
      <c r="H11" s="226">
        <f>IF(SUM(F11:G11)=0,"",SUM(F11:G11))</f>
      </c>
      <c r="I11" s="8"/>
      <c r="J11" s="123"/>
      <c r="K11" s="126"/>
      <c r="L11" s="124"/>
      <c r="M11" s="124"/>
      <c r="N11" s="124"/>
      <c r="O11" s="126"/>
      <c r="P11" s="134"/>
      <c r="Q11" s="124"/>
      <c r="R11" s="124"/>
      <c r="S11" s="124"/>
      <c r="T11" s="124"/>
      <c r="U11" s="127"/>
      <c r="Y11" s="1">
        <v>2008</v>
      </c>
    </row>
    <row r="12" spans="1:21" ht="12.75">
      <c r="A12" s="11"/>
      <c r="B12" s="89" t="s">
        <v>177</v>
      </c>
      <c r="C12" s="90"/>
      <c r="D12" s="223" t="str">
        <f>IF(Sperrmüll!AD24=0,"k. A. unter 3.3",Sperrmüll!AD24)</f>
        <v>k. A. unter 3.3</v>
      </c>
      <c r="E12" s="224" t="s">
        <v>410</v>
      </c>
      <c r="F12" s="227"/>
      <c r="G12" s="228"/>
      <c r="H12" s="226">
        <f>IF(SUM(F12:G12)=0,"",SUM(F12:G12))</f>
      </c>
      <c r="I12" s="8"/>
      <c r="J12" s="123"/>
      <c r="K12" s="126"/>
      <c r="L12" s="124"/>
      <c r="M12" s="124"/>
      <c r="N12" s="124"/>
      <c r="O12" s="126"/>
      <c r="P12" s="134"/>
      <c r="Q12" s="124"/>
      <c r="R12" s="124"/>
      <c r="S12" s="124"/>
      <c r="T12" s="124"/>
      <c r="U12" s="127"/>
    </row>
    <row r="13" spans="1:21" ht="12.75">
      <c r="A13" s="11"/>
      <c r="B13" s="89" t="s">
        <v>125</v>
      </c>
      <c r="C13" s="90"/>
      <c r="D13" s="223" t="str">
        <f>IF(Bioabfall!AD38=0,"k. A. unter 4.3",Bioabfall!AD38)</f>
        <v>k. A. unter 4.3</v>
      </c>
      <c r="E13" s="224" t="s">
        <v>410</v>
      </c>
      <c r="F13" s="227"/>
      <c r="G13" s="228"/>
      <c r="H13" s="226">
        <f aca="true" t="shared" si="0" ref="H13:H24">IF(SUM(F13:G13)=0,"",SUM(F13:G13))</f>
      </c>
      <c r="I13" s="8"/>
      <c r="J13" s="123"/>
      <c r="K13" s="126"/>
      <c r="L13" s="124"/>
      <c r="M13" s="124"/>
      <c r="N13" s="124"/>
      <c r="O13" s="126"/>
      <c r="P13" s="134"/>
      <c r="Q13" s="124"/>
      <c r="R13" s="124"/>
      <c r="S13" s="124"/>
      <c r="T13" s="124"/>
      <c r="U13" s="127"/>
    </row>
    <row r="14" spans="1:25" ht="12.75">
      <c r="A14" s="11"/>
      <c r="B14" s="89" t="s">
        <v>126</v>
      </c>
      <c r="C14" s="90"/>
      <c r="D14" s="223" t="str">
        <f>IF(Altpapier!AD38=0,"k. A. unter 5.3",Altpapier!AD38)</f>
        <v>k. A. unter 5.3</v>
      </c>
      <c r="E14" s="224" t="str">
        <f>IF(Altpapier!L39="","k. A. unter 5.3",Altpapier!L39)</f>
        <v>k. A. unter 5.3</v>
      </c>
      <c r="F14" s="227"/>
      <c r="G14" s="228"/>
      <c r="H14" s="226">
        <f t="shared" si="0"/>
      </c>
      <c r="I14" s="8"/>
      <c r="J14" s="123"/>
      <c r="K14" s="126"/>
      <c r="L14" s="124"/>
      <c r="M14" s="124"/>
      <c r="N14" s="124"/>
      <c r="O14" s="126"/>
      <c r="P14" s="134"/>
      <c r="Q14" s="124"/>
      <c r="R14" s="124"/>
      <c r="S14" s="124"/>
      <c r="T14" s="124"/>
      <c r="U14" s="127"/>
      <c r="Y14" s="1">
        <v>2006</v>
      </c>
    </row>
    <row r="15" spans="1:25" ht="12.75">
      <c r="A15" s="11"/>
      <c r="B15" s="89" t="s">
        <v>396</v>
      </c>
      <c r="C15" s="90"/>
      <c r="D15" s="223" t="str">
        <f>IF(SUM(Altstoffsammelzentrum!G46:G49)=0,"k. A. unter 6.7",SUM(Altstoffsammelzentrum!G46:G49))</f>
        <v>k. A. unter 6.7</v>
      </c>
      <c r="E15" s="224" t="str">
        <f>IF(SUM(Altstoffsammelzentrum!G56,G58)=0,"k. A. unter 6.7",SUM(Altstoffsammelzentrum!G56,G58))</f>
        <v>k. A. unter 6.7</v>
      </c>
      <c r="F15" s="227"/>
      <c r="G15" s="228"/>
      <c r="H15" s="226">
        <f t="shared" si="0"/>
      </c>
      <c r="I15" s="8"/>
      <c r="J15" s="123"/>
      <c r="K15" s="126"/>
      <c r="L15" s="124"/>
      <c r="M15" s="124"/>
      <c r="N15" s="124"/>
      <c r="O15" s="126"/>
      <c r="P15" s="134"/>
      <c r="Q15" s="124"/>
      <c r="R15" s="124"/>
      <c r="S15" s="124"/>
      <c r="T15" s="124"/>
      <c r="U15" s="127"/>
      <c r="Y15" s="1">
        <v>2007</v>
      </c>
    </row>
    <row r="16" spans="1:25" ht="12.75">
      <c r="A16" s="11"/>
      <c r="B16" s="89" t="s">
        <v>369</v>
      </c>
      <c r="C16" s="90"/>
      <c r="D16" s="223" t="str">
        <f>IF(Altstoffsammelzentrum!G64="","k. A. unter 6.8",Altstoffsammelzentrum!G64)</f>
        <v>k. A. unter 6.8</v>
      </c>
      <c r="E16" s="224" t="s">
        <v>410</v>
      </c>
      <c r="F16" s="227"/>
      <c r="G16" s="228"/>
      <c r="H16" s="226">
        <f t="shared" si="0"/>
      </c>
      <c r="I16" s="8"/>
      <c r="J16" s="123"/>
      <c r="K16" s="126"/>
      <c r="L16" s="124"/>
      <c r="M16" s="124"/>
      <c r="N16" s="124"/>
      <c r="O16" s="126"/>
      <c r="P16" s="134"/>
      <c r="Q16" s="124"/>
      <c r="R16" s="124"/>
      <c r="S16" s="124"/>
      <c r="T16" s="124"/>
      <c r="U16" s="127"/>
      <c r="Y16" s="1">
        <v>2007</v>
      </c>
    </row>
    <row r="17" spans="1:21" ht="12.75">
      <c r="A17" s="11"/>
      <c r="B17" s="89" t="s">
        <v>541</v>
      </c>
      <c r="C17" s="90"/>
      <c r="D17" s="229" t="str">
        <f>IF(SUM(Altstoffsammelzentrum!L46:L47,Altstoffsammelzentrum!L49)=0,"k. A. in Zusatzabfrage",SUM(Altstoffsammelzentrum!L46:L47,Altstoffsammelzentrum!L49))</f>
        <v>k. A. in Zusatzabfrage</v>
      </c>
      <c r="E17" s="224" t="s">
        <v>410</v>
      </c>
      <c r="F17" s="227"/>
      <c r="G17" s="228"/>
      <c r="H17" s="226">
        <f t="shared" si="0"/>
      </c>
      <c r="I17" s="8"/>
      <c r="J17" s="123"/>
      <c r="K17" s="126"/>
      <c r="L17" s="124"/>
      <c r="M17" s="124"/>
      <c r="N17" s="124"/>
      <c r="O17" s="126"/>
      <c r="P17" s="134"/>
      <c r="Q17" s="124"/>
      <c r="R17" s="124"/>
      <c r="S17" s="124"/>
      <c r="T17" s="124"/>
      <c r="U17" s="127"/>
    </row>
    <row r="18" spans="1:25" ht="12.75">
      <c r="A18" s="11"/>
      <c r="B18" s="89" t="s">
        <v>458</v>
      </c>
      <c r="C18" s="90"/>
      <c r="D18" s="230"/>
      <c r="E18" s="231"/>
      <c r="F18" s="227"/>
      <c r="G18" s="228"/>
      <c r="H18" s="226">
        <f t="shared" si="0"/>
      </c>
      <c r="I18" s="8"/>
      <c r="J18" s="123"/>
      <c r="K18" s="126"/>
      <c r="L18" s="124"/>
      <c r="M18" s="124"/>
      <c r="N18" s="124"/>
      <c r="O18" s="126"/>
      <c r="P18" s="134"/>
      <c r="Q18" s="124"/>
      <c r="R18" s="124"/>
      <c r="S18" s="124"/>
      <c r="T18" s="124"/>
      <c r="U18" s="127"/>
      <c r="Y18" s="1">
        <v>2008</v>
      </c>
    </row>
    <row r="19" spans="1:25" ht="12.75">
      <c r="A19" s="11"/>
      <c r="B19" s="89" t="s">
        <v>459</v>
      </c>
      <c r="C19" s="90"/>
      <c r="D19" s="230"/>
      <c r="E19" s="231"/>
      <c r="F19" s="227"/>
      <c r="G19" s="228"/>
      <c r="H19" s="226">
        <f t="shared" si="0"/>
      </c>
      <c r="I19" s="8"/>
      <c r="J19" s="123"/>
      <c r="K19" s="126"/>
      <c r="L19" s="124"/>
      <c r="M19" s="124"/>
      <c r="N19" s="124"/>
      <c r="O19" s="126"/>
      <c r="P19" s="134"/>
      <c r="Q19" s="124"/>
      <c r="R19" s="124"/>
      <c r="S19" s="124"/>
      <c r="T19" s="124"/>
      <c r="U19" s="127"/>
      <c r="Y19" s="1">
        <v>2008</v>
      </c>
    </row>
    <row r="20" spans="1:25" ht="12.75">
      <c r="A20" s="11"/>
      <c r="B20" s="89" t="s">
        <v>366</v>
      </c>
      <c r="C20" s="90"/>
      <c r="D20" s="230"/>
      <c r="E20" s="231"/>
      <c r="F20" s="227"/>
      <c r="G20" s="228"/>
      <c r="H20" s="226">
        <f t="shared" si="0"/>
      </c>
      <c r="I20" s="8"/>
      <c r="J20" s="123"/>
      <c r="K20" s="126"/>
      <c r="L20" s="124"/>
      <c r="M20" s="124"/>
      <c r="N20" s="124"/>
      <c r="O20" s="126"/>
      <c r="P20" s="134"/>
      <c r="Q20" s="124"/>
      <c r="R20" s="124"/>
      <c r="S20" s="124"/>
      <c r="T20" s="124"/>
      <c r="U20" s="127"/>
      <c r="Y20" s="1">
        <v>2008</v>
      </c>
    </row>
    <row r="21" spans="1:21" ht="12.75">
      <c r="A21" s="11"/>
      <c r="B21" s="89" t="s">
        <v>367</v>
      </c>
      <c r="C21" s="90"/>
      <c r="D21" s="230"/>
      <c r="E21" s="231"/>
      <c r="F21" s="227"/>
      <c r="G21" s="228"/>
      <c r="H21" s="226">
        <f t="shared" si="0"/>
      </c>
      <c r="I21" s="8"/>
      <c r="J21" s="123"/>
      <c r="K21" s="126"/>
      <c r="L21" s="124"/>
      <c r="M21" s="124"/>
      <c r="N21" s="124"/>
      <c r="O21" s="126"/>
      <c r="P21" s="134"/>
      <c r="Q21" s="124"/>
      <c r="R21" s="124"/>
      <c r="S21" s="124"/>
      <c r="T21" s="124"/>
      <c r="U21" s="127"/>
    </row>
    <row r="22" spans="1:21" ht="12.75">
      <c r="A22" s="11"/>
      <c r="B22" s="89" t="s">
        <v>534</v>
      </c>
      <c r="C22" s="90"/>
      <c r="D22" s="230"/>
      <c r="E22" s="231"/>
      <c r="F22" s="227"/>
      <c r="G22" s="228"/>
      <c r="H22" s="226">
        <f t="shared" si="0"/>
      </c>
      <c r="I22" s="8"/>
      <c r="J22" s="123"/>
      <c r="K22" s="126"/>
      <c r="L22" s="124"/>
      <c r="M22" s="124"/>
      <c r="N22" s="124"/>
      <c r="O22" s="126"/>
      <c r="P22" s="134"/>
      <c r="Q22" s="124"/>
      <c r="R22" s="124"/>
      <c r="S22" s="124"/>
      <c r="T22" s="124"/>
      <c r="U22" s="127"/>
    </row>
    <row r="23" spans="1:21" ht="12.75">
      <c r="A23" s="11"/>
      <c r="B23" s="89" t="s">
        <v>561</v>
      </c>
      <c r="C23" s="90"/>
      <c r="D23" s="230"/>
      <c r="E23" s="231"/>
      <c r="F23" s="227"/>
      <c r="G23" s="228"/>
      <c r="H23" s="226">
        <f t="shared" si="0"/>
      </c>
      <c r="I23" s="8"/>
      <c r="J23" s="123"/>
      <c r="K23" s="126"/>
      <c r="L23" s="124"/>
      <c r="M23" s="124"/>
      <c r="N23" s="124"/>
      <c r="O23" s="126"/>
      <c r="P23" s="134"/>
      <c r="Q23" s="124"/>
      <c r="R23" s="124"/>
      <c r="S23" s="124"/>
      <c r="T23" s="124"/>
      <c r="U23" s="127"/>
    </row>
    <row r="24" spans="1:21" ht="12.75">
      <c r="A24" s="11"/>
      <c r="B24" s="89" t="s">
        <v>368</v>
      </c>
      <c r="C24" s="90"/>
      <c r="D24" s="230"/>
      <c r="E24" s="231"/>
      <c r="F24" s="227"/>
      <c r="G24" s="228"/>
      <c r="H24" s="226">
        <f t="shared" si="0"/>
      </c>
      <c r="I24" s="8"/>
      <c r="J24" s="123"/>
      <c r="K24" s="126"/>
      <c r="L24" s="124"/>
      <c r="M24" s="124"/>
      <c r="N24" s="124"/>
      <c r="O24" s="126"/>
      <c r="P24" s="134"/>
      <c r="Q24" s="124"/>
      <c r="R24" s="124"/>
      <c r="S24" s="124"/>
      <c r="T24" s="124"/>
      <c r="U24" s="127"/>
    </row>
    <row r="25" spans="1:21" ht="12.75">
      <c r="A25" s="11"/>
      <c r="B25" s="94" t="s">
        <v>122</v>
      </c>
      <c r="C25" s="95"/>
      <c r="D25" s="232">
        <f>SUM(D11:D24)</f>
        <v>0</v>
      </c>
      <c r="E25" s="233">
        <f>SUM(E11:E24)</f>
        <v>0</v>
      </c>
      <c r="F25" s="234">
        <f>SUM(F11:F24)</f>
        <v>0</v>
      </c>
      <c r="G25" s="235">
        <f>SUM(G11:G24)</f>
        <v>0</v>
      </c>
      <c r="H25" s="235">
        <f>SUM(H11:H24)</f>
        <v>0</v>
      </c>
      <c r="I25" s="8"/>
      <c r="J25" s="123"/>
      <c r="K25" s="124"/>
      <c r="L25" s="124"/>
      <c r="M25" s="124"/>
      <c r="N25" s="124"/>
      <c r="O25" s="124"/>
      <c r="P25" s="134"/>
      <c r="Q25" s="124"/>
      <c r="R25" s="124"/>
      <c r="S25" s="124"/>
      <c r="T25" s="124"/>
      <c r="U25" s="127"/>
    </row>
    <row r="26" spans="1:21" ht="12.75">
      <c r="A26" s="11"/>
      <c r="B26" s="7"/>
      <c r="C26" s="7"/>
      <c r="D26" s="7"/>
      <c r="E26" s="7"/>
      <c r="F26" s="7"/>
      <c r="G26" s="7"/>
      <c r="H26" s="7"/>
      <c r="I26" s="8"/>
      <c r="J26" s="123"/>
      <c r="K26" s="124"/>
      <c r="L26" s="124"/>
      <c r="M26" s="124"/>
      <c r="N26" s="124"/>
      <c r="O26" s="124"/>
      <c r="P26" s="134"/>
      <c r="Q26" s="124"/>
      <c r="R26" s="124"/>
      <c r="S26" s="124"/>
      <c r="T26" s="124"/>
      <c r="U26" s="127"/>
    </row>
    <row r="27" spans="1:21" ht="12.75">
      <c r="A27" s="11"/>
      <c r="B27" s="7"/>
      <c r="C27" s="7"/>
      <c r="D27" s="7"/>
      <c r="E27" s="7"/>
      <c r="F27" s="7"/>
      <c r="G27" s="7"/>
      <c r="H27" s="7"/>
      <c r="I27" s="8"/>
      <c r="J27" s="123"/>
      <c r="K27" s="124"/>
      <c r="L27" s="124"/>
      <c r="M27" s="124"/>
      <c r="N27" s="124"/>
      <c r="O27" s="124"/>
      <c r="P27" s="134"/>
      <c r="Q27" s="124"/>
      <c r="R27" s="124"/>
      <c r="S27" s="124"/>
      <c r="T27" s="124"/>
      <c r="U27" s="127"/>
    </row>
    <row r="28" spans="1:21" ht="12.75">
      <c r="A28" s="18"/>
      <c r="B28" s="19"/>
      <c r="C28" s="19"/>
      <c r="D28" s="19"/>
      <c r="E28" s="19"/>
      <c r="F28" s="19"/>
      <c r="G28" s="19"/>
      <c r="H28" s="19"/>
      <c r="I28" s="20"/>
      <c r="J28" s="139"/>
      <c r="K28" s="140"/>
      <c r="L28" s="140"/>
      <c r="M28" s="140"/>
      <c r="N28" s="140"/>
      <c r="O28" s="140"/>
      <c r="P28" s="148"/>
      <c r="Q28" s="140"/>
      <c r="R28" s="140"/>
      <c r="S28" s="140"/>
      <c r="T28" s="140"/>
      <c r="U28" s="143"/>
    </row>
  </sheetData>
  <sheetProtection password="CF5B" sheet="1" objects="1" scenarios="1" selectLockedCells="1"/>
  <printOptions/>
  <pageMargins left="0.3937007874015748" right="0.3937007874015748" top="0.3937007874015748" bottom="0.1968503937007874" header="0.11811023622047245" footer="0.5118110236220472"/>
  <pageSetup fitToWidth="2" horizontalDpi="600" verticalDpi="600" orientation="landscape" paperSize="9" r:id="rId4"/>
  <colBreaks count="1" manualBreakCount="1">
    <brk id="9" max="43" man="1"/>
  </colBreaks>
  <drawing r:id="rId3"/>
  <legacyDrawing r:id="rId2"/>
</worksheet>
</file>

<file path=xl/worksheets/sheet11.xml><?xml version="1.0" encoding="utf-8"?>
<worksheet xmlns="http://schemas.openxmlformats.org/spreadsheetml/2006/main" xmlns:r="http://schemas.openxmlformats.org/officeDocument/2006/relationships">
  <dimension ref="A1:M47"/>
  <sheetViews>
    <sheetView showGridLines="0" workbookViewId="0" topLeftCell="A19">
      <selection activeCell="A1" sqref="A1"/>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135</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555</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197</v>
      </c>
      <c r="B6" s="63" t="s">
        <v>195</v>
      </c>
      <c r="C6" s="63"/>
      <c r="D6" s="63"/>
      <c r="E6" s="63"/>
      <c r="F6" s="63"/>
      <c r="G6" s="63"/>
      <c r="H6" s="63"/>
      <c r="I6" s="63"/>
      <c r="J6" s="63"/>
      <c r="K6" s="64"/>
    </row>
    <row r="7" spans="1:11" ht="12.75">
      <c r="A7" s="55" t="str">
        <f>Restabfall!A4</f>
        <v>2.</v>
      </c>
      <c r="B7" s="51" t="s">
        <v>542</v>
      </c>
      <c r="C7" s="51"/>
      <c r="D7" s="51"/>
      <c r="E7" s="51"/>
      <c r="F7" s="51"/>
      <c r="G7" s="51"/>
      <c r="H7" s="51"/>
      <c r="I7" s="51"/>
      <c r="J7" s="51"/>
      <c r="K7" s="52"/>
    </row>
    <row r="8" spans="1:11" ht="12.75">
      <c r="A8" s="56"/>
      <c r="B8" s="51" t="s">
        <v>556</v>
      </c>
      <c r="C8" s="51"/>
      <c r="D8" s="51"/>
      <c r="E8" s="51"/>
      <c r="F8" s="51"/>
      <c r="G8" s="51"/>
      <c r="H8" s="51"/>
      <c r="I8" s="51"/>
      <c r="J8" s="51"/>
      <c r="K8" s="52"/>
    </row>
    <row r="9" spans="1:11" ht="12.75">
      <c r="A9" s="56"/>
      <c r="B9" s="51" t="s">
        <v>198</v>
      </c>
      <c r="C9" s="51"/>
      <c r="D9" s="51"/>
      <c r="E9" s="51"/>
      <c r="F9" s="51"/>
      <c r="G9" s="51"/>
      <c r="H9" s="51"/>
      <c r="I9" s="51"/>
      <c r="J9" s="51"/>
      <c r="K9" s="52"/>
    </row>
    <row r="10" spans="1:11" ht="12.75">
      <c r="A10" s="56"/>
      <c r="B10" s="51" t="s">
        <v>199</v>
      </c>
      <c r="C10" s="51"/>
      <c r="D10" s="51"/>
      <c r="E10" s="51"/>
      <c r="F10" s="51"/>
      <c r="G10" s="51"/>
      <c r="H10" s="51"/>
      <c r="I10" s="51"/>
      <c r="J10" s="51"/>
      <c r="K10" s="52"/>
    </row>
    <row r="11" spans="1:11" ht="6.75" customHeight="1">
      <c r="A11" s="56"/>
      <c r="B11" s="51"/>
      <c r="C11" s="51"/>
      <c r="D11" s="51"/>
      <c r="E11" s="51"/>
      <c r="F11" s="51"/>
      <c r="G11" s="51"/>
      <c r="H11" s="51"/>
      <c r="I11" s="51"/>
      <c r="J11" s="51"/>
      <c r="K11" s="52"/>
    </row>
    <row r="12" spans="1:11" ht="12.75">
      <c r="A12" s="55" t="str">
        <f>Restabfall!A7</f>
        <v>2.1.1</v>
      </c>
      <c r="B12" s="51" t="s">
        <v>200</v>
      </c>
      <c r="C12" s="51"/>
      <c r="D12" s="51"/>
      <c r="E12" s="51"/>
      <c r="F12" s="51"/>
      <c r="G12" s="51"/>
      <c r="H12" s="51"/>
      <c r="I12" s="51"/>
      <c r="J12" s="51"/>
      <c r="K12" s="52"/>
    </row>
    <row r="13" spans="1:11" ht="12.75">
      <c r="A13" s="56"/>
      <c r="B13" s="59" t="s">
        <v>201</v>
      </c>
      <c r="C13" s="51"/>
      <c r="D13" s="51"/>
      <c r="E13" s="51"/>
      <c r="F13" s="51"/>
      <c r="G13" s="51"/>
      <c r="H13" s="51"/>
      <c r="I13" s="51"/>
      <c r="J13" s="51"/>
      <c r="K13" s="52"/>
    </row>
    <row r="14" spans="1:11" ht="12.75">
      <c r="A14" s="56"/>
      <c r="B14" s="51" t="s">
        <v>202</v>
      </c>
      <c r="C14" s="51"/>
      <c r="D14" s="51"/>
      <c r="E14" s="51"/>
      <c r="F14" s="51"/>
      <c r="G14" s="51"/>
      <c r="H14" s="51"/>
      <c r="I14" s="51"/>
      <c r="J14" s="51"/>
      <c r="K14" s="52"/>
    </row>
    <row r="15" spans="1:11" ht="12.75">
      <c r="A15" s="56"/>
      <c r="B15" s="51" t="s">
        <v>481</v>
      </c>
      <c r="C15" s="51"/>
      <c r="D15" s="51"/>
      <c r="E15" s="51"/>
      <c r="F15" s="51"/>
      <c r="G15" s="51"/>
      <c r="H15" s="51"/>
      <c r="I15" s="51"/>
      <c r="J15" s="51"/>
      <c r="K15" s="52"/>
    </row>
    <row r="16" spans="1:11" ht="12.75">
      <c r="A16" s="56"/>
      <c r="B16" s="51" t="s">
        <v>210</v>
      </c>
      <c r="C16" s="51"/>
      <c r="D16" s="51"/>
      <c r="E16" s="51"/>
      <c r="F16" s="51"/>
      <c r="G16" s="51"/>
      <c r="H16" s="51"/>
      <c r="I16" s="51"/>
      <c r="J16" s="51"/>
      <c r="K16" s="52"/>
    </row>
    <row r="17" spans="1:11" ht="12.75">
      <c r="A17" s="56"/>
      <c r="B17" s="51" t="s">
        <v>211</v>
      </c>
      <c r="C17" s="51"/>
      <c r="D17" s="51"/>
      <c r="E17" s="51"/>
      <c r="F17" s="51"/>
      <c r="G17" s="51"/>
      <c r="H17" s="51"/>
      <c r="I17" s="51"/>
      <c r="J17" s="51"/>
      <c r="K17" s="52"/>
    </row>
    <row r="18" spans="1:11" ht="12.75">
      <c r="A18" s="56"/>
      <c r="B18" s="51" t="s">
        <v>416</v>
      </c>
      <c r="C18" s="51"/>
      <c r="D18" s="51"/>
      <c r="E18" s="51"/>
      <c r="F18" s="51"/>
      <c r="G18" s="51"/>
      <c r="H18" s="51"/>
      <c r="I18" s="51"/>
      <c r="J18" s="51"/>
      <c r="K18" s="52"/>
    </row>
    <row r="19" spans="1:13" ht="12.75">
      <c r="A19" s="56"/>
      <c r="B19" s="51" t="s">
        <v>205</v>
      </c>
      <c r="C19" s="51"/>
      <c r="D19" s="51"/>
      <c r="E19" s="51"/>
      <c r="F19" s="51"/>
      <c r="G19" s="51"/>
      <c r="H19" s="51"/>
      <c r="I19" s="51"/>
      <c r="J19" s="51"/>
      <c r="K19" s="52"/>
      <c r="M19" s="58"/>
    </row>
    <row r="20" spans="1:11" ht="12.75">
      <c r="A20" s="56"/>
      <c r="B20" s="60" t="s">
        <v>206</v>
      </c>
      <c r="C20" s="51"/>
      <c r="D20" s="51"/>
      <c r="E20" s="51"/>
      <c r="F20" s="51"/>
      <c r="G20" s="51"/>
      <c r="H20" s="51"/>
      <c r="I20" s="51"/>
      <c r="J20" s="51"/>
      <c r="K20" s="52"/>
    </row>
    <row r="21" spans="1:11" ht="12.75">
      <c r="A21" s="56"/>
      <c r="B21" s="60" t="s">
        <v>207</v>
      </c>
      <c r="C21" s="51"/>
      <c r="D21" s="51"/>
      <c r="E21" s="51"/>
      <c r="F21" s="51"/>
      <c r="G21" s="51"/>
      <c r="H21" s="51"/>
      <c r="I21" s="51"/>
      <c r="J21" s="51"/>
      <c r="K21" s="52"/>
    </row>
    <row r="22" spans="1:11" ht="12.75">
      <c r="A22" s="56"/>
      <c r="B22" s="60" t="s">
        <v>208</v>
      </c>
      <c r="C22" s="51"/>
      <c r="D22" s="51"/>
      <c r="E22" s="51"/>
      <c r="F22" s="51"/>
      <c r="G22" s="51"/>
      <c r="H22" s="51"/>
      <c r="I22" s="51"/>
      <c r="J22" s="51"/>
      <c r="K22" s="52"/>
    </row>
    <row r="23" spans="1:11" ht="12.75">
      <c r="A23" s="56"/>
      <c r="B23" s="60" t="s">
        <v>209</v>
      </c>
      <c r="C23" s="51"/>
      <c r="D23" s="51"/>
      <c r="E23" s="51"/>
      <c r="F23" s="51"/>
      <c r="G23" s="51"/>
      <c r="H23" s="51"/>
      <c r="I23" s="51"/>
      <c r="J23" s="51"/>
      <c r="K23" s="52"/>
    </row>
    <row r="24" spans="1:11" ht="6.75" customHeight="1">
      <c r="A24" s="56"/>
      <c r="B24" s="51"/>
      <c r="C24" s="51"/>
      <c r="D24" s="51"/>
      <c r="E24" s="51"/>
      <c r="F24" s="51"/>
      <c r="G24" s="51"/>
      <c r="H24" s="51"/>
      <c r="I24" s="51"/>
      <c r="J24" s="51"/>
      <c r="K24" s="52"/>
    </row>
    <row r="25" spans="1:11" ht="12.75">
      <c r="A25" s="55" t="str">
        <f>Restabfall!A19</f>
        <v>2.1.2</v>
      </c>
      <c r="B25" s="51" t="s">
        <v>200</v>
      </c>
      <c r="C25" s="51"/>
      <c r="D25" s="51"/>
      <c r="E25" s="51"/>
      <c r="F25" s="51"/>
      <c r="G25" s="51"/>
      <c r="H25" s="51"/>
      <c r="I25" s="51"/>
      <c r="J25" s="51"/>
      <c r="K25" s="52"/>
    </row>
    <row r="26" spans="1:11" ht="12.75">
      <c r="A26" s="56"/>
      <c r="B26" s="59" t="s">
        <v>201</v>
      </c>
      <c r="C26" s="51"/>
      <c r="D26" s="51"/>
      <c r="E26" s="51"/>
      <c r="F26" s="51"/>
      <c r="G26" s="51"/>
      <c r="H26" s="51"/>
      <c r="I26" s="51"/>
      <c r="J26" s="51"/>
      <c r="K26" s="52"/>
    </row>
    <row r="27" spans="1:11" ht="12.75">
      <c r="A27" s="56"/>
      <c r="B27" s="51" t="s">
        <v>202</v>
      </c>
      <c r="C27" s="51"/>
      <c r="D27" s="51"/>
      <c r="E27" s="51"/>
      <c r="F27" s="51"/>
      <c r="G27" s="51"/>
      <c r="H27" s="51"/>
      <c r="I27" s="51"/>
      <c r="J27" s="51"/>
      <c r="K27" s="52"/>
    </row>
    <row r="28" spans="1:11" ht="12.75">
      <c r="A28" s="56"/>
      <c r="B28" s="51" t="s">
        <v>481</v>
      </c>
      <c r="C28" s="51"/>
      <c r="D28" s="51"/>
      <c r="E28" s="51"/>
      <c r="F28" s="51"/>
      <c r="G28" s="51"/>
      <c r="H28" s="51"/>
      <c r="I28" s="51"/>
      <c r="J28" s="51"/>
      <c r="K28" s="52"/>
    </row>
    <row r="29" spans="1:11" ht="12.75">
      <c r="A29" s="56"/>
      <c r="B29" s="51" t="s">
        <v>203</v>
      </c>
      <c r="C29" s="51"/>
      <c r="D29" s="51"/>
      <c r="E29" s="51"/>
      <c r="F29" s="51"/>
      <c r="G29" s="51"/>
      <c r="H29" s="51"/>
      <c r="I29" s="51"/>
      <c r="J29" s="51"/>
      <c r="K29" s="52"/>
    </row>
    <row r="30" spans="1:11" ht="12.75">
      <c r="A30" s="56"/>
      <c r="B30" s="51" t="s">
        <v>415</v>
      </c>
      <c r="C30" s="51"/>
      <c r="D30" s="51"/>
      <c r="E30" s="51"/>
      <c r="F30" s="51"/>
      <c r="G30" s="51"/>
      <c r="H30" s="51"/>
      <c r="I30" s="51"/>
      <c r="J30" s="51"/>
      <c r="K30" s="52"/>
    </row>
    <row r="31" spans="1:13" ht="12.75">
      <c r="A31" s="56"/>
      <c r="B31" s="51" t="s">
        <v>205</v>
      </c>
      <c r="C31" s="51"/>
      <c r="D31" s="51"/>
      <c r="E31" s="51"/>
      <c r="F31" s="51"/>
      <c r="G31" s="51"/>
      <c r="H31" s="51"/>
      <c r="I31" s="51"/>
      <c r="J31" s="51"/>
      <c r="K31" s="52"/>
      <c r="M31" s="58"/>
    </row>
    <row r="32" spans="1:11" ht="12.75">
      <c r="A32" s="56"/>
      <c r="B32" s="60" t="s">
        <v>206</v>
      </c>
      <c r="C32" s="51"/>
      <c r="D32" s="51"/>
      <c r="E32" s="51"/>
      <c r="F32" s="51"/>
      <c r="G32" s="51"/>
      <c r="H32" s="51"/>
      <c r="I32" s="51"/>
      <c r="J32" s="51"/>
      <c r="K32" s="52"/>
    </row>
    <row r="33" spans="1:11" ht="12.75">
      <c r="A33" s="56"/>
      <c r="B33" s="60" t="s">
        <v>207</v>
      </c>
      <c r="C33" s="51"/>
      <c r="D33" s="51"/>
      <c r="E33" s="51"/>
      <c r="F33" s="51"/>
      <c r="G33" s="51"/>
      <c r="H33" s="51"/>
      <c r="I33" s="51"/>
      <c r="J33" s="51"/>
      <c r="K33" s="52"/>
    </row>
    <row r="34" spans="1:11" ht="12.75">
      <c r="A34" s="56"/>
      <c r="B34" s="60" t="s">
        <v>208</v>
      </c>
      <c r="C34" s="51"/>
      <c r="D34" s="51"/>
      <c r="E34" s="51"/>
      <c r="F34" s="51"/>
      <c r="G34" s="51"/>
      <c r="H34" s="51"/>
      <c r="I34" s="51"/>
      <c r="J34" s="51"/>
      <c r="K34" s="52"/>
    </row>
    <row r="35" spans="1:11" ht="12.75">
      <c r="A35" s="56"/>
      <c r="B35" s="60" t="s">
        <v>209</v>
      </c>
      <c r="C35" s="51"/>
      <c r="D35" s="51"/>
      <c r="E35" s="51"/>
      <c r="F35" s="51"/>
      <c r="G35" s="51"/>
      <c r="H35" s="51"/>
      <c r="I35" s="51"/>
      <c r="J35" s="51"/>
      <c r="K35" s="52"/>
    </row>
    <row r="36" spans="1:11" ht="6.75" customHeight="1">
      <c r="A36" s="56"/>
      <c r="B36" s="51"/>
      <c r="C36" s="51"/>
      <c r="D36" s="51"/>
      <c r="E36" s="51"/>
      <c r="F36" s="51"/>
      <c r="G36" s="51"/>
      <c r="H36" s="51"/>
      <c r="I36" s="51"/>
      <c r="J36" s="51"/>
      <c r="K36" s="52"/>
    </row>
    <row r="37" spans="1:11" ht="12.75">
      <c r="A37" s="55" t="str">
        <f>Restabfall!A38</f>
        <v>2.3.1</v>
      </c>
      <c r="B37" s="60" t="s">
        <v>557</v>
      </c>
      <c r="C37" s="51"/>
      <c r="D37" s="51"/>
      <c r="E37" s="51"/>
      <c r="F37" s="51"/>
      <c r="G37" s="51"/>
      <c r="H37" s="51"/>
      <c r="I37" s="51"/>
      <c r="J37" s="51"/>
      <c r="K37" s="52"/>
    </row>
    <row r="38" spans="1:11" ht="12.75">
      <c r="A38" s="56"/>
      <c r="B38" s="59" t="s">
        <v>213</v>
      </c>
      <c r="C38" s="51"/>
      <c r="D38" s="51"/>
      <c r="E38" s="51"/>
      <c r="F38" s="51"/>
      <c r="G38" s="51"/>
      <c r="H38" s="51"/>
      <c r="I38" s="51"/>
      <c r="J38" s="51"/>
      <c r="K38" s="52"/>
    </row>
    <row r="39" spans="1:11" ht="12.75">
      <c r="A39" s="56"/>
      <c r="B39" s="51" t="s">
        <v>214</v>
      </c>
      <c r="C39" s="51"/>
      <c r="D39" s="51"/>
      <c r="E39" s="51"/>
      <c r="F39" s="51"/>
      <c r="G39" s="51"/>
      <c r="H39" s="51"/>
      <c r="I39" s="51"/>
      <c r="J39" s="51"/>
      <c r="K39" s="52"/>
    </row>
    <row r="40" spans="1:11" ht="12.75">
      <c r="A40" s="56"/>
      <c r="B40" s="60" t="s">
        <v>215</v>
      </c>
      <c r="C40" s="51"/>
      <c r="D40" s="51"/>
      <c r="E40" s="51"/>
      <c r="F40" s="51"/>
      <c r="G40" s="51"/>
      <c r="H40" s="51"/>
      <c r="I40" s="51"/>
      <c r="J40" s="51"/>
      <c r="K40" s="52"/>
    </row>
    <row r="41" spans="1:11" ht="6.75" customHeight="1">
      <c r="A41" s="56"/>
      <c r="B41" s="51"/>
      <c r="C41" s="51"/>
      <c r="D41" s="51"/>
      <c r="E41" s="51"/>
      <c r="F41" s="51"/>
      <c r="G41" s="51"/>
      <c r="H41" s="51"/>
      <c r="I41" s="51"/>
      <c r="J41" s="51"/>
      <c r="K41" s="52"/>
    </row>
    <row r="42" spans="1:11" ht="12.75">
      <c r="A42" s="55" t="str">
        <f>Restabfall!A39</f>
        <v>2.3.2</v>
      </c>
      <c r="B42" s="60" t="s">
        <v>558</v>
      </c>
      <c r="C42" s="51"/>
      <c r="D42" s="51"/>
      <c r="E42" s="51"/>
      <c r="F42" s="51"/>
      <c r="G42" s="51"/>
      <c r="H42" s="51"/>
      <c r="I42" s="51"/>
      <c r="J42" s="51"/>
      <c r="K42" s="52"/>
    </row>
    <row r="43" spans="1:11" ht="6.75" customHeight="1">
      <c r="A43" s="56"/>
      <c r="B43" s="51"/>
      <c r="C43" s="51"/>
      <c r="D43" s="51"/>
      <c r="E43" s="51"/>
      <c r="F43" s="51"/>
      <c r="G43" s="51"/>
      <c r="H43" s="51"/>
      <c r="I43" s="51"/>
      <c r="J43" s="51"/>
      <c r="K43" s="52"/>
    </row>
    <row r="44" spans="1:11" ht="12.75">
      <c r="A44" s="55" t="str">
        <f>Restabfall!A40</f>
        <v>2.3.3</v>
      </c>
      <c r="B44" s="60" t="s">
        <v>535</v>
      </c>
      <c r="C44" s="51"/>
      <c r="D44" s="51"/>
      <c r="E44" s="51"/>
      <c r="F44" s="51"/>
      <c r="G44" s="51"/>
      <c r="H44" s="51"/>
      <c r="I44" s="51"/>
      <c r="J44" s="51"/>
      <c r="K44" s="52"/>
    </row>
    <row r="45" spans="1:11" ht="12.75">
      <c r="A45" s="56"/>
      <c r="B45" s="59" t="s">
        <v>536</v>
      </c>
      <c r="C45" s="51"/>
      <c r="D45" s="51"/>
      <c r="E45" s="51"/>
      <c r="F45" s="51"/>
      <c r="G45" s="51"/>
      <c r="H45" s="51"/>
      <c r="I45" s="51"/>
      <c r="J45" s="51"/>
      <c r="K45" s="52"/>
    </row>
    <row r="46" spans="1:11" ht="12.75">
      <c r="A46" s="56"/>
      <c r="B46" s="51" t="s">
        <v>537</v>
      </c>
      <c r="C46" s="51"/>
      <c r="D46" s="51"/>
      <c r="E46" s="51"/>
      <c r="F46" s="51"/>
      <c r="G46" s="51"/>
      <c r="H46" s="51"/>
      <c r="I46" s="51"/>
      <c r="J46" s="51"/>
      <c r="K46" s="52"/>
    </row>
    <row r="47" spans="1:11" ht="4.5" customHeight="1">
      <c r="A47" s="57"/>
      <c r="B47" s="53"/>
      <c r="C47" s="53"/>
      <c r="D47" s="53"/>
      <c r="E47" s="53"/>
      <c r="F47" s="53"/>
      <c r="G47" s="53"/>
      <c r="H47" s="53"/>
      <c r="I47" s="53"/>
      <c r="J47" s="53"/>
      <c r="K47"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K44"/>
  <sheetViews>
    <sheetView showGridLines="0" tabSelected="1" workbookViewId="0" topLeftCell="A1">
      <selection activeCell="B43" sqref="B43"/>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135</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192</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197</v>
      </c>
      <c r="B6" s="63" t="s">
        <v>195</v>
      </c>
      <c r="C6" s="63"/>
      <c r="D6" s="63"/>
      <c r="E6" s="63"/>
      <c r="F6" s="63"/>
      <c r="G6" s="63"/>
      <c r="H6" s="63"/>
      <c r="I6" s="63"/>
      <c r="J6" s="63"/>
      <c r="K6" s="64"/>
    </row>
    <row r="7" spans="1:11" ht="12.75">
      <c r="A7" s="61" t="s">
        <v>28</v>
      </c>
      <c r="B7" s="51" t="s">
        <v>542</v>
      </c>
      <c r="C7" s="51"/>
      <c r="D7" s="51"/>
      <c r="E7" s="51"/>
      <c r="F7" s="51"/>
      <c r="G7" s="51"/>
      <c r="H7" s="51"/>
      <c r="I7" s="51"/>
      <c r="J7" s="51"/>
      <c r="K7" s="52"/>
    </row>
    <row r="8" spans="1:11" ht="12.75">
      <c r="A8" s="61"/>
      <c r="B8" s="51" t="s">
        <v>559</v>
      </c>
      <c r="C8" s="51"/>
      <c r="D8" s="51"/>
      <c r="E8" s="51"/>
      <c r="F8" s="51"/>
      <c r="G8" s="51"/>
      <c r="H8" s="51"/>
      <c r="I8" s="51"/>
      <c r="J8" s="51"/>
      <c r="K8" s="52"/>
    </row>
    <row r="9" spans="1:11" ht="12.75">
      <c r="A9" s="61"/>
      <c r="B9" s="67" t="s">
        <v>440</v>
      </c>
      <c r="C9" s="51"/>
      <c r="D9" s="51"/>
      <c r="E9" s="51"/>
      <c r="F9" s="51"/>
      <c r="G9" s="51"/>
      <c r="H9" s="51"/>
      <c r="I9" s="51"/>
      <c r="J9" s="51"/>
      <c r="K9" s="52"/>
    </row>
    <row r="10" spans="1:11" ht="12.75">
      <c r="A10" s="61"/>
      <c r="B10" s="51" t="s">
        <v>469</v>
      </c>
      <c r="C10" s="51"/>
      <c r="D10" s="51"/>
      <c r="E10" s="51"/>
      <c r="F10" s="51"/>
      <c r="G10" s="51"/>
      <c r="H10" s="51"/>
      <c r="I10" s="51"/>
      <c r="J10" s="51"/>
      <c r="K10" s="52"/>
    </row>
    <row r="11" spans="1:11" ht="6.75" customHeight="1">
      <c r="A11" s="61"/>
      <c r="B11" s="51"/>
      <c r="C11" s="51"/>
      <c r="D11" s="51"/>
      <c r="E11" s="51"/>
      <c r="F11" s="51"/>
      <c r="G11" s="51"/>
      <c r="H11" s="51"/>
      <c r="I11" s="51"/>
      <c r="J11" s="51"/>
      <c r="K11" s="52"/>
    </row>
    <row r="12" spans="1:11" ht="12.75">
      <c r="A12" s="55" t="str">
        <f>Sperrmüll!A21</f>
        <v>3.3.1</v>
      </c>
      <c r="B12" s="60" t="s">
        <v>248</v>
      </c>
      <c r="C12" s="51"/>
      <c r="D12" s="51"/>
      <c r="E12" s="51"/>
      <c r="F12" s="51"/>
      <c r="G12" s="51"/>
      <c r="H12" s="51"/>
      <c r="I12" s="51"/>
      <c r="J12" s="51"/>
      <c r="K12" s="52"/>
    </row>
    <row r="13" spans="1:11" ht="12.75">
      <c r="A13" s="61"/>
      <c r="B13" s="59" t="s">
        <v>253</v>
      </c>
      <c r="C13" s="51"/>
      <c r="D13" s="51"/>
      <c r="E13" s="51"/>
      <c r="F13" s="51"/>
      <c r="G13" s="51"/>
      <c r="H13" s="51"/>
      <c r="I13" s="51"/>
      <c r="J13" s="51"/>
      <c r="K13" s="52"/>
    </row>
    <row r="14" spans="1:11" ht="12.75">
      <c r="A14" s="61"/>
      <c r="B14" s="51" t="s">
        <v>417</v>
      </c>
      <c r="C14" s="51"/>
      <c r="D14" s="51"/>
      <c r="E14" s="51"/>
      <c r="F14" s="51"/>
      <c r="G14" s="51"/>
      <c r="H14" s="51"/>
      <c r="I14" s="51"/>
      <c r="J14" s="51"/>
      <c r="K14" s="52"/>
    </row>
    <row r="15" spans="1:11" ht="12.75">
      <c r="A15" s="61"/>
      <c r="B15" s="67" t="s">
        <v>252</v>
      </c>
      <c r="C15" s="51"/>
      <c r="D15" s="51"/>
      <c r="E15" s="51"/>
      <c r="F15" s="51"/>
      <c r="G15" s="51"/>
      <c r="H15" s="51"/>
      <c r="I15" s="51"/>
      <c r="J15" s="51"/>
      <c r="K15" s="52"/>
    </row>
    <row r="16" spans="1:11" ht="6.75" customHeight="1">
      <c r="A16" s="61"/>
      <c r="B16" s="51"/>
      <c r="C16" s="51"/>
      <c r="D16" s="51"/>
      <c r="E16" s="51"/>
      <c r="F16" s="51"/>
      <c r="G16" s="51"/>
      <c r="H16" s="51"/>
      <c r="I16" s="51"/>
      <c r="J16" s="51"/>
      <c r="K16" s="52"/>
    </row>
    <row r="17" spans="1:11" ht="12.75">
      <c r="A17" s="55" t="str">
        <f>Sperrmüll!A22</f>
        <v>3.3.2</v>
      </c>
      <c r="B17" s="60" t="s">
        <v>250</v>
      </c>
      <c r="C17" s="51"/>
      <c r="D17" s="51"/>
      <c r="E17" s="51"/>
      <c r="F17" s="51"/>
      <c r="G17" s="51"/>
      <c r="H17" s="51"/>
      <c r="I17" s="51"/>
      <c r="J17" s="51"/>
      <c r="K17" s="52"/>
    </row>
    <row r="18" spans="1:11" ht="12.75">
      <c r="A18" s="55"/>
      <c r="B18" s="67" t="s">
        <v>249</v>
      </c>
      <c r="C18" s="51"/>
      <c r="D18" s="51"/>
      <c r="E18" s="51"/>
      <c r="F18" s="51"/>
      <c r="G18" s="51"/>
      <c r="H18" s="51"/>
      <c r="I18" s="51"/>
      <c r="J18" s="51"/>
      <c r="K18" s="52"/>
    </row>
    <row r="19" spans="1:11" ht="6.75" customHeight="1">
      <c r="A19" s="61"/>
      <c r="B19" s="51"/>
      <c r="C19" s="51"/>
      <c r="D19" s="51"/>
      <c r="E19" s="51"/>
      <c r="F19" s="51"/>
      <c r="G19" s="51"/>
      <c r="H19" s="51"/>
      <c r="I19" s="51"/>
      <c r="J19" s="51"/>
      <c r="K19" s="52"/>
    </row>
    <row r="20" spans="1:11" ht="12.75">
      <c r="A20" s="55" t="s">
        <v>438</v>
      </c>
      <c r="B20" s="60" t="s">
        <v>535</v>
      </c>
      <c r="C20" s="51"/>
      <c r="D20" s="51"/>
      <c r="E20" s="51"/>
      <c r="F20" s="51"/>
      <c r="G20" s="51"/>
      <c r="H20" s="51"/>
      <c r="I20" s="51"/>
      <c r="J20" s="51"/>
      <c r="K20" s="52"/>
    </row>
    <row r="21" spans="1:11" ht="12.75">
      <c r="A21" s="56"/>
      <c r="B21" s="59" t="s">
        <v>536</v>
      </c>
      <c r="C21" s="51"/>
      <c r="D21" s="51"/>
      <c r="E21" s="51"/>
      <c r="F21" s="51"/>
      <c r="G21" s="51"/>
      <c r="H21" s="51"/>
      <c r="I21" s="51"/>
      <c r="J21" s="51"/>
      <c r="K21" s="52"/>
    </row>
    <row r="22" spans="1:11" ht="12.75">
      <c r="A22" s="56"/>
      <c r="B22" s="51" t="s">
        <v>537</v>
      </c>
      <c r="C22" s="51"/>
      <c r="D22" s="51"/>
      <c r="E22" s="51"/>
      <c r="F22" s="51"/>
      <c r="G22" s="51"/>
      <c r="H22" s="51"/>
      <c r="I22" s="51"/>
      <c r="J22" s="51"/>
      <c r="K22" s="52"/>
    </row>
    <row r="23" spans="1:11" ht="6.75" customHeight="1">
      <c r="A23" s="61"/>
      <c r="B23" s="51"/>
      <c r="C23" s="51"/>
      <c r="D23" s="51"/>
      <c r="E23" s="51"/>
      <c r="F23" s="51"/>
      <c r="G23" s="51"/>
      <c r="H23" s="51"/>
      <c r="I23" s="51"/>
      <c r="J23" s="51"/>
      <c r="K23" s="52"/>
    </row>
    <row r="24" spans="1:11" ht="12.75">
      <c r="A24" s="55" t="s">
        <v>1</v>
      </c>
      <c r="B24" s="60" t="s">
        <v>24</v>
      </c>
      <c r="C24" s="51"/>
      <c r="D24" s="51"/>
      <c r="E24" s="51"/>
      <c r="F24" s="51"/>
      <c r="G24" s="51"/>
      <c r="H24" s="51"/>
      <c r="I24" s="51"/>
      <c r="J24" s="51"/>
      <c r="K24" s="52"/>
    </row>
    <row r="25" spans="1:11" ht="12.75">
      <c r="A25" s="55" t="s">
        <v>2</v>
      </c>
      <c r="B25" s="60" t="s">
        <v>21</v>
      </c>
      <c r="C25" s="51"/>
      <c r="D25" s="51"/>
      <c r="E25" s="51"/>
      <c r="F25" s="51"/>
      <c r="G25" s="51"/>
      <c r="H25" s="51"/>
      <c r="I25" s="51"/>
      <c r="J25" s="51"/>
      <c r="K25" s="52"/>
    </row>
    <row r="26" spans="1:11" ht="12.75">
      <c r="A26" s="61"/>
      <c r="B26" s="83" t="s">
        <v>20</v>
      </c>
      <c r="C26" s="51"/>
      <c r="D26" s="51"/>
      <c r="E26" s="51"/>
      <c r="F26" s="51"/>
      <c r="G26" s="51"/>
      <c r="H26" s="51"/>
      <c r="I26" s="51"/>
      <c r="J26" s="51"/>
      <c r="K26" s="52"/>
    </row>
    <row r="27" spans="1:11" ht="12.75">
      <c r="A27" s="61"/>
      <c r="B27" s="67" t="s">
        <v>27</v>
      </c>
      <c r="C27" s="51"/>
      <c r="D27" s="51"/>
      <c r="E27" s="51"/>
      <c r="F27" s="51"/>
      <c r="G27" s="51"/>
      <c r="H27" s="51"/>
      <c r="I27" s="51"/>
      <c r="J27" s="51"/>
      <c r="K27" s="52"/>
    </row>
    <row r="28" spans="1:11" ht="12.75">
      <c r="A28" s="61"/>
      <c r="B28" s="67" t="s">
        <v>252</v>
      </c>
      <c r="C28" s="51"/>
      <c r="D28" s="51"/>
      <c r="E28" s="51"/>
      <c r="F28" s="51"/>
      <c r="G28" s="51"/>
      <c r="H28" s="51"/>
      <c r="I28" s="51"/>
      <c r="J28" s="51"/>
      <c r="K28" s="52"/>
    </row>
    <row r="29" spans="1:11" ht="12.75">
      <c r="A29" s="55" t="s">
        <v>3</v>
      </c>
      <c r="B29" s="60" t="s">
        <v>22</v>
      </c>
      <c r="C29" s="51"/>
      <c r="D29" s="51"/>
      <c r="E29" s="51"/>
      <c r="F29" s="51"/>
      <c r="G29" s="51"/>
      <c r="H29" s="51"/>
      <c r="I29" s="51"/>
      <c r="J29" s="51"/>
      <c r="K29" s="52"/>
    </row>
    <row r="30" spans="1:11" ht="12.75">
      <c r="A30" s="55" t="s">
        <v>4</v>
      </c>
      <c r="B30" s="60" t="s">
        <v>23</v>
      </c>
      <c r="C30" s="51"/>
      <c r="D30" s="51"/>
      <c r="E30" s="51"/>
      <c r="F30" s="51"/>
      <c r="G30" s="51"/>
      <c r="H30" s="51"/>
      <c r="I30" s="51"/>
      <c r="J30" s="51"/>
      <c r="K30" s="52"/>
    </row>
    <row r="31" spans="1:11" ht="12.75">
      <c r="A31" s="56"/>
      <c r="B31" s="83" t="s">
        <v>536</v>
      </c>
      <c r="C31" s="51"/>
      <c r="D31" s="51"/>
      <c r="E31" s="51"/>
      <c r="F31" s="51"/>
      <c r="G31" s="51"/>
      <c r="H31" s="51"/>
      <c r="I31" s="51"/>
      <c r="J31" s="51"/>
      <c r="K31" s="52"/>
    </row>
    <row r="32" spans="1:11" ht="12.75">
      <c r="A32" s="56"/>
      <c r="B32" s="67" t="s">
        <v>537</v>
      </c>
      <c r="C32" s="51"/>
      <c r="D32" s="51"/>
      <c r="E32" s="51"/>
      <c r="F32" s="51"/>
      <c r="G32" s="51"/>
      <c r="H32" s="51"/>
      <c r="I32" s="51"/>
      <c r="J32" s="51"/>
      <c r="K32" s="52"/>
    </row>
    <row r="33" spans="1:11" ht="4.5" customHeight="1">
      <c r="A33" s="56"/>
      <c r="B33" s="51"/>
      <c r="C33" s="51"/>
      <c r="D33" s="51"/>
      <c r="E33" s="51"/>
      <c r="F33" s="51"/>
      <c r="G33" s="51"/>
      <c r="H33" s="51"/>
      <c r="I33" s="51"/>
      <c r="J33" s="51"/>
      <c r="K33" s="52"/>
    </row>
    <row r="34" spans="1:11" ht="12.75">
      <c r="A34" s="55" t="s">
        <v>9</v>
      </c>
      <c r="B34" s="60" t="s">
        <v>25</v>
      </c>
      <c r="C34" s="51"/>
      <c r="D34" s="51"/>
      <c r="E34" s="51"/>
      <c r="F34" s="51"/>
      <c r="G34" s="51"/>
      <c r="H34" s="51"/>
      <c r="I34" s="51"/>
      <c r="J34" s="51"/>
      <c r="K34" s="52"/>
    </row>
    <row r="35" spans="1:11" ht="12.75">
      <c r="A35" s="55" t="s">
        <v>10</v>
      </c>
      <c r="B35" s="60" t="s">
        <v>26</v>
      </c>
      <c r="C35" s="51"/>
      <c r="D35" s="51"/>
      <c r="E35" s="51"/>
      <c r="F35" s="51"/>
      <c r="G35" s="51"/>
      <c r="H35" s="51"/>
      <c r="I35" s="51"/>
      <c r="J35" s="51"/>
      <c r="K35" s="52"/>
    </row>
    <row r="36" spans="1:11" ht="12.75">
      <c r="A36" s="61"/>
      <c r="B36" s="83" t="s">
        <v>20</v>
      </c>
      <c r="C36" s="51"/>
      <c r="D36" s="51"/>
      <c r="E36" s="51"/>
      <c r="F36" s="51"/>
      <c r="G36" s="51"/>
      <c r="H36" s="51"/>
      <c r="I36" s="51"/>
      <c r="J36" s="51"/>
      <c r="K36" s="52"/>
    </row>
    <row r="37" spans="1:11" ht="12.75">
      <c r="A37" s="61"/>
      <c r="B37" s="67" t="s">
        <v>27</v>
      </c>
      <c r="C37" s="51"/>
      <c r="D37" s="51"/>
      <c r="E37" s="51"/>
      <c r="F37" s="51"/>
      <c r="G37" s="51"/>
      <c r="H37" s="51"/>
      <c r="I37" s="51"/>
      <c r="J37" s="51"/>
      <c r="K37" s="52"/>
    </row>
    <row r="38" spans="1:11" ht="12.75">
      <c r="A38" s="61"/>
      <c r="B38" s="67" t="s">
        <v>252</v>
      </c>
      <c r="C38" s="51"/>
      <c r="D38" s="51"/>
      <c r="E38" s="51"/>
      <c r="F38" s="51"/>
      <c r="G38" s="51"/>
      <c r="H38" s="51"/>
      <c r="I38" s="51"/>
      <c r="J38" s="51"/>
      <c r="K38" s="52"/>
    </row>
    <row r="39" spans="1:11" ht="12.75">
      <c r="A39" s="55" t="s">
        <v>11</v>
      </c>
      <c r="B39" s="60" t="s">
        <v>31</v>
      </c>
      <c r="C39" s="51"/>
      <c r="D39" s="51"/>
      <c r="E39" s="51"/>
      <c r="F39" s="51"/>
      <c r="G39" s="51"/>
      <c r="H39" s="51"/>
      <c r="I39" s="51"/>
      <c r="J39" s="51"/>
      <c r="K39" s="52"/>
    </row>
    <row r="40" spans="1:11" ht="12.75">
      <c r="A40" s="55"/>
      <c r="B40" s="67" t="s">
        <v>249</v>
      </c>
      <c r="C40" s="51"/>
      <c r="D40" s="51"/>
      <c r="E40" s="51"/>
      <c r="F40" s="51"/>
      <c r="G40" s="51"/>
      <c r="H40" s="51"/>
      <c r="I40" s="51"/>
      <c r="J40" s="51"/>
      <c r="K40" s="52"/>
    </row>
    <row r="41" spans="1:11" ht="12.75">
      <c r="A41" s="55" t="s">
        <v>12</v>
      </c>
      <c r="B41" s="60" t="s">
        <v>32</v>
      </c>
      <c r="C41" s="51"/>
      <c r="D41" s="51"/>
      <c r="E41" s="51"/>
      <c r="F41" s="51"/>
      <c r="G41" s="51"/>
      <c r="H41" s="51"/>
      <c r="I41" s="51"/>
      <c r="J41" s="51"/>
      <c r="K41" s="52"/>
    </row>
    <row r="42" spans="1:11" ht="12.75">
      <c r="A42" s="56"/>
      <c r="B42" s="83" t="s">
        <v>536</v>
      </c>
      <c r="C42" s="51"/>
      <c r="D42" s="51"/>
      <c r="E42" s="51"/>
      <c r="F42" s="51"/>
      <c r="G42" s="51"/>
      <c r="H42" s="51"/>
      <c r="I42" s="51"/>
      <c r="J42" s="51"/>
      <c r="K42" s="52"/>
    </row>
    <row r="43" spans="1:11" ht="12.75">
      <c r="A43" s="56"/>
      <c r="B43" s="67" t="s">
        <v>537</v>
      </c>
      <c r="C43" s="51"/>
      <c r="D43" s="51"/>
      <c r="E43" s="51"/>
      <c r="F43" s="51"/>
      <c r="G43" s="51"/>
      <c r="H43" s="51"/>
      <c r="I43" s="51"/>
      <c r="J43" s="51"/>
      <c r="K43" s="52"/>
    </row>
    <row r="44" spans="1:11" ht="4.5" customHeight="1">
      <c r="A44" s="57"/>
      <c r="B44" s="53"/>
      <c r="C44" s="53"/>
      <c r="D44" s="53"/>
      <c r="E44" s="53"/>
      <c r="F44" s="53"/>
      <c r="G44" s="53"/>
      <c r="H44" s="53"/>
      <c r="I44" s="53"/>
      <c r="J44" s="53"/>
      <c r="K44"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M47"/>
  <sheetViews>
    <sheetView showGridLines="0" workbookViewId="0" topLeftCell="A1">
      <selection activeCell="A1" sqref="A1"/>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135</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193</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197</v>
      </c>
      <c r="B6" s="63" t="s">
        <v>195</v>
      </c>
      <c r="C6" s="63"/>
      <c r="D6" s="63"/>
      <c r="E6" s="63"/>
      <c r="F6" s="63"/>
      <c r="G6" s="63"/>
      <c r="H6" s="63"/>
      <c r="I6" s="63"/>
      <c r="J6" s="63"/>
      <c r="K6" s="64"/>
    </row>
    <row r="7" spans="1:11" ht="12.75">
      <c r="A7" s="55" t="str">
        <f>Bioabfall!A4</f>
        <v>4.</v>
      </c>
      <c r="B7" s="51" t="s">
        <v>542</v>
      </c>
      <c r="C7" s="51"/>
      <c r="D7" s="51"/>
      <c r="E7" s="51"/>
      <c r="F7" s="51"/>
      <c r="G7" s="51"/>
      <c r="H7" s="51"/>
      <c r="I7" s="51"/>
      <c r="J7" s="51"/>
      <c r="K7" s="52"/>
    </row>
    <row r="8" spans="1:11" ht="12.75">
      <c r="A8" s="61"/>
      <c r="B8" s="51" t="s">
        <v>543</v>
      </c>
      <c r="C8" s="51"/>
      <c r="D8" s="51"/>
      <c r="E8" s="51"/>
      <c r="F8" s="51"/>
      <c r="G8" s="51"/>
      <c r="H8" s="51"/>
      <c r="I8" s="51"/>
      <c r="J8" s="51"/>
      <c r="K8" s="52"/>
    </row>
    <row r="9" spans="1:11" ht="12.75">
      <c r="A9" s="61"/>
      <c r="B9" s="51" t="s">
        <v>227</v>
      </c>
      <c r="C9" s="51"/>
      <c r="D9" s="51"/>
      <c r="E9" s="51"/>
      <c r="F9" s="51"/>
      <c r="G9" s="51"/>
      <c r="H9" s="51"/>
      <c r="I9" s="51"/>
      <c r="J9" s="51"/>
      <c r="K9" s="52"/>
    </row>
    <row r="10" spans="1:11" ht="12.75">
      <c r="A10" s="61"/>
      <c r="B10" s="51" t="s">
        <v>199</v>
      </c>
      <c r="C10" s="51"/>
      <c r="D10" s="51"/>
      <c r="E10" s="51"/>
      <c r="F10" s="51"/>
      <c r="G10" s="51"/>
      <c r="H10" s="51"/>
      <c r="I10" s="51"/>
      <c r="J10" s="51"/>
      <c r="K10" s="52"/>
    </row>
    <row r="11" spans="1:11" ht="6.75" customHeight="1">
      <c r="A11" s="61"/>
      <c r="B11" s="51"/>
      <c r="C11" s="51"/>
      <c r="D11" s="51"/>
      <c r="E11" s="51"/>
      <c r="F11" s="51"/>
      <c r="G11" s="51"/>
      <c r="H11" s="51"/>
      <c r="I11" s="51"/>
      <c r="J11" s="51"/>
      <c r="K11" s="52"/>
    </row>
    <row r="12" spans="1:11" ht="12.75">
      <c r="A12" s="55" t="str">
        <f>Bioabfall!A7</f>
        <v>4.1.1</v>
      </c>
      <c r="B12" s="51" t="s">
        <v>200</v>
      </c>
      <c r="C12" s="51"/>
      <c r="D12" s="51"/>
      <c r="E12" s="51"/>
      <c r="F12" s="51"/>
      <c r="G12" s="51"/>
      <c r="H12" s="51"/>
      <c r="I12" s="51"/>
      <c r="J12" s="51"/>
      <c r="K12" s="52"/>
    </row>
    <row r="13" spans="1:11" ht="12.75">
      <c r="A13" s="61"/>
      <c r="B13" s="59" t="s">
        <v>201</v>
      </c>
      <c r="C13" s="51"/>
      <c r="D13" s="51"/>
      <c r="E13" s="51"/>
      <c r="F13" s="51"/>
      <c r="G13" s="51"/>
      <c r="H13" s="51"/>
      <c r="I13" s="51"/>
      <c r="J13" s="51"/>
      <c r="K13" s="52"/>
    </row>
    <row r="14" spans="1:11" ht="12.75">
      <c r="A14" s="61"/>
      <c r="B14" s="51" t="s">
        <v>202</v>
      </c>
      <c r="C14" s="51"/>
      <c r="D14" s="51"/>
      <c r="E14" s="51"/>
      <c r="F14" s="51"/>
      <c r="G14" s="51"/>
      <c r="H14" s="51"/>
      <c r="I14" s="51"/>
      <c r="J14" s="51"/>
      <c r="K14" s="52"/>
    </row>
    <row r="15" spans="1:11" ht="12.75">
      <c r="A15" s="61"/>
      <c r="B15" s="51" t="s">
        <v>481</v>
      </c>
      <c r="C15" s="51"/>
      <c r="D15" s="51"/>
      <c r="E15" s="51"/>
      <c r="F15" s="51"/>
      <c r="G15" s="51"/>
      <c r="H15" s="51"/>
      <c r="I15" s="51"/>
      <c r="J15" s="51"/>
      <c r="K15" s="52"/>
    </row>
    <row r="16" spans="1:11" ht="12.75">
      <c r="A16" s="61"/>
      <c r="B16" s="51" t="s">
        <v>210</v>
      </c>
      <c r="C16" s="51"/>
      <c r="D16" s="51"/>
      <c r="E16" s="51"/>
      <c r="F16" s="51"/>
      <c r="G16" s="51"/>
      <c r="H16" s="51"/>
      <c r="I16" s="51"/>
      <c r="J16" s="51"/>
      <c r="K16" s="52"/>
    </row>
    <row r="17" spans="1:11" ht="12.75">
      <c r="A17" s="61"/>
      <c r="B17" s="51" t="s">
        <v>211</v>
      </c>
      <c r="C17" s="51"/>
      <c r="D17" s="51"/>
      <c r="E17" s="51"/>
      <c r="F17" s="51"/>
      <c r="G17" s="51"/>
      <c r="H17" s="51"/>
      <c r="I17" s="51"/>
      <c r="J17" s="51"/>
      <c r="K17" s="52"/>
    </row>
    <row r="18" spans="1:11" ht="12.75">
      <c r="A18" s="61"/>
      <c r="B18" s="51" t="s">
        <v>416</v>
      </c>
      <c r="C18" s="51"/>
      <c r="D18" s="51"/>
      <c r="E18" s="51"/>
      <c r="F18" s="51"/>
      <c r="G18" s="51"/>
      <c r="H18" s="51"/>
      <c r="I18" s="51"/>
      <c r="J18" s="51"/>
      <c r="K18" s="52"/>
    </row>
    <row r="19" spans="1:13" ht="12.75">
      <c r="A19" s="61"/>
      <c r="B19" s="51" t="s">
        <v>205</v>
      </c>
      <c r="C19" s="51"/>
      <c r="D19" s="51"/>
      <c r="E19" s="51"/>
      <c r="F19" s="51"/>
      <c r="G19" s="51"/>
      <c r="H19" s="51"/>
      <c r="I19" s="51"/>
      <c r="J19" s="51"/>
      <c r="K19" s="52"/>
      <c r="M19" s="58"/>
    </row>
    <row r="20" spans="1:11" ht="12.75">
      <c r="A20" s="61"/>
      <c r="B20" s="60" t="s">
        <v>206</v>
      </c>
      <c r="C20" s="51"/>
      <c r="D20" s="51"/>
      <c r="E20" s="51"/>
      <c r="F20" s="51"/>
      <c r="G20" s="51"/>
      <c r="H20" s="51"/>
      <c r="I20" s="51"/>
      <c r="J20" s="51"/>
      <c r="K20" s="52"/>
    </row>
    <row r="21" spans="1:11" ht="12.75">
      <c r="A21" s="61"/>
      <c r="B21" s="60" t="s">
        <v>207</v>
      </c>
      <c r="C21" s="51"/>
      <c r="D21" s="51"/>
      <c r="E21" s="51"/>
      <c r="F21" s="51"/>
      <c r="G21" s="51"/>
      <c r="H21" s="51"/>
      <c r="I21" s="51"/>
      <c r="J21" s="51"/>
      <c r="K21" s="52"/>
    </row>
    <row r="22" spans="1:11" ht="12.75">
      <c r="A22" s="61"/>
      <c r="B22" s="60" t="s">
        <v>208</v>
      </c>
      <c r="C22" s="51"/>
      <c r="D22" s="51"/>
      <c r="E22" s="51"/>
      <c r="F22" s="51"/>
      <c r="G22" s="51"/>
      <c r="H22" s="51"/>
      <c r="I22" s="51"/>
      <c r="J22" s="51"/>
      <c r="K22" s="52"/>
    </row>
    <row r="23" spans="1:11" ht="12.75">
      <c r="A23" s="61"/>
      <c r="B23" s="60" t="s">
        <v>209</v>
      </c>
      <c r="C23" s="51"/>
      <c r="D23" s="51"/>
      <c r="E23" s="51"/>
      <c r="F23" s="51"/>
      <c r="G23" s="51"/>
      <c r="H23" s="51"/>
      <c r="I23" s="51"/>
      <c r="J23" s="51"/>
      <c r="K23" s="52"/>
    </row>
    <row r="24" spans="1:11" ht="6.75" customHeight="1">
      <c r="A24" s="61"/>
      <c r="B24" s="51"/>
      <c r="C24" s="51"/>
      <c r="D24" s="51"/>
      <c r="E24" s="51"/>
      <c r="F24" s="51"/>
      <c r="G24" s="51"/>
      <c r="H24" s="51"/>
      <c r="I24" s="51"/>
      <c r="J24" s="51"/>
      <c r="K24" s="52"/>
    </row>
    <row r="25" spans="1:11" ht="12.75">
      <c r="A25" s="55" t="str">
        <f>Bioabfall!A19</f>
        <v>4.1.2</v>
      </c>
      <c r="B25" s="51" t="s">
        <v>200</v>
      </c>
      <c r="C25" s="51"/>
      <c r="D25" s="51"/>
      <c r="E25" s="51"/>
      <c r="F25" s="51"/>
      <c r="G25" s="51"/>
      <c r="H25" s="51"/>
      <c r="I25" s="51"/>
      <c r="J25" s="51"/>
      <c r="K25" s="52"/>
    </row>
    <row r="26" spans="1:11" ht="12.75">
      <c r="A26" s="61"/>
      <c r="B26" s="59" t="s">
        <v>201</v>
      </c>
      <c r="C26" s="51"/>
      <c r="D26" s="51"/>
      <c r="E26" s="51"/>
      <c r="F26" s="51"/>
      <c r="G26" s="51"/>
      <c r="H26" s="51"/>
      <c r="I26" s="51"/>
      <c r="J26" s="51"/>
      <c r="K26" s="52"/>
    </row>
    <row r="27" spans="1:11" ht="12.75">
      <c r="A27" s="61"/>
      <c r="B27" s="51" t="s">
        <v>202</v>
      </c>
      <c r="C27" s="51"/>
      <c r="D27" s="51"/>
      <c r="E27" s="51"/>
      <c r="F27" s="51"/>
      <c r="G27" s="51"/>
      <c r="H27" s="51"/>
      <c r="I27" s="51"/>
      <c r="J27" s="51"/>
      <c r="K27" s="52"/>
    </row>
    <row r="28" spans="1:11" ht="12.75">
      <c r="A28" s="61"/>
      <c r="B28" s="51" t="s">
        <v>481</v>
      </c>
      <c r="C28" s="51"/>
      <c r="D28" s="51"/>
      <c r="E28" s="51"/>
      <c r="F28" s="51"/>
      <c r="G28" s="51"/>
      <c r="H28" s="51"/>
      <c r="I28" s="51"/>
      <c r="J28" s="51"/>
      <c r="K28" s="52"/>
    </row>
    <row r="29" spans="1:11" ht="12.75">
      <c r="A29" s="61"/>
      <c r="B29" s="51" t="s">
        <v>203</v>
      </c>
      <c r="C29" s="51"/>
      <c r="D29" s="51"/>
      <c r="E29" s="51"/>
      <c r="F29" s="51"/>
      <c r="G29" s="51"/>
      <c r="H29" s="51"/>
      <c r="I29" s="51"/>
      <c r="J29" s="51"/>
      <c r="K29" s="52"/>
    </row>
    <row r="30" spans="1:11" ht="12.75">
      <c r="A30" s="61"/>
      <c r="B30" s="51" t="s">
        <v>415</v>
      </c>
      <c r="C30" s="51"/>
      <c r="D30" s="51"/>
      <c r="E30" s="51"/>
      <c r="F30" s="51"/>
      <c r="G30" s="51"/>
      <c r="H30" s="51"/>
      <c r="I30" s="51"/>
      <c r="J30" s="51"/>
      <c r="K30" s="52"/>
    </row>
    <row r="31" spans="1:13" ht="12.75">
      <c r="A31" s="61"/>
      <c r="B31" s="51" t="s">
        <v>205</v>
      </c>
      <c r="C31" s="51"/>
      <c r="D31" s="51"/>
      <c r="E31" s="51"/>
      <c r="F31" s="51"/>
      <c r="G31" s="51"/>
      <c r="H31" s="51"/>
      <c r="I31" s="51"/>
      <c r="J31" s="51"/>
      <c r="K31" s="52"/>
      <c r="M31" s="58"/>
    </row>
    <row r="32" spans="1:11" ht="12.75">
      <c r="A32" s="61"/>
      <c r="B32" s="60" t="s">
        <v>206</v>
      </c>
      <c r="C32" s="51"/>
      <c r="D32" s="51"/>
      <c r="E32" s="51"/>
      <c r="F32" s="51"/>
      <c r="G32" s="51"/>
      <c r="H32" s="51"/>
      <c r="I32" s="51"/>
      <c r="J32" s="51"/>
      <c r="K32" s="52"/>
    </row>
    <row r="33" spans="1:11" ht="12.75">
      <c r="A33" s="61"/>
      <c r="B33" s="60" t="s">
        <v>207</v>
      </c>
      <c r="C33" s="51"/>
      <c r="D33" s="51"/>
      <c r="E33" s="51"/>
      <c r="F33" s="51"/>
      <c r="G33" s="51"/>
      <c r="H33" s="51"/>
      <c r="I33" s="51"/>
      <c r="J33" s="51"/>
      <c r="K33" s="52"/>
    </row>
    <row r="34" spans="1:11" ht="12.75">
      <c r="A34" s="61"/>
      <c r="B34" s="60" t="s">
        <v>208</v>
      </c>
      <c r="C34" s="51"/>
      <c r="D34" s="51"/>
      <c r="E34" s="51"/>
      <c r="F34" s="51"/>
      <c r="G34" s="51"/>
      <c r="H34" s="51"/>
      <c r="I34" s="51"/>
      <c r="J34" s="51"/>
      <c r="K34" s="52"/>
    </row>
    <row r="35" spans="1:11" ht="12.75">
      <c r="A35" s="61"/>
      <c r="B35" s="60" t="s">
        <v>209</v>
      </c>
      <c r="C35" s="51"/>
      <c r="D35" s="51"/>
      <c r="E35" s="51"/>
      <c r="F35" s="51"/>
      <c r="G35" s="51"/>
      <c r="H35" s="51"/>
      <c r="I35" s="51"/>
      <c r="J35" s="51"/>
      <c r="K35" s="52"/>
    </row>
    <row r="36" spans="1:11" ht="6.75" customHeight="1">
      <c r="A36" s="61"/>
      <c r="B36" s="51"/>
      <c r="C36" s="51"/>
      <c r="D36" s="51"/>
      <c r="E36" s="51"/>
      <c r="F36" s="51"/>
      <c r="G36" s="51"/>
      <c r="H36" s="51"/>
      <c r="I36" s="51"/>
      <c r="J36" s="51"/>
      <c r="K36" s="52"/>
    </row>
    <row r="37" spans="1:11" ht="12.75">
      <c r="A37" s="55" t="str">
        <f>Bioabfall!A35</f>
        <v>4.3.1</v>
      </c>
      <c r="B37" s="60" t="s">
        <v>254</v>
      </c>
      <c r="C37" s="51"/>
      <c r="D37" s="51"/>
      <c r="E37" s="51"/>
      <c r="F37" s="51"/>
      <c r="G37" s="51"/>
      <c r="H37" s="51"/>
      <c r="I37" s="51"/>
      <c r="J37" s="51"/>
      <c r="K37" s="52"/>
    </row>
    <row r="38" spans="1:11" ht="12.75">
      <c r="A38" s="61"/>
      <c r="B38" s="59" t="s">
        <v>213</v>
      </c>
      <c r="C38" s="51"/>
      <c r="D38" s="51"/>
      <c r="E38" s="51"/>
      <c r="F38" s="51"/>
      <c r="G38" s="51"/>
      <c r="H38" s="51"/>
      <c r="I38" s="51"/>
      <c r="J38" s="51"/>
      <c r="K38" s="52"/>
    </row>
    <row r="39" spans="1:11" ht="12.75">
      <c r="A39" s="61"/>
      <c r="B39" s="51" t="s">
        <v>214</v>
      </c>
      <c r="C39" s="51"/>
      <c r="D39" s="51"/>
      <c r="E39" s="51"/>
      <c r="F39" s="51"/>
      <c r="G39" s="51"/>
      <c r="H39" s="51"/>
      <c r="I39" s="51"/>
      <c r="J39" s="51"/>
      <c r="K39" s="52"/>
    </row>
    <row r="40" spans="1:11" ht="12.75">
      <c r="A40" s="61"/>
      <c r="B40" s="60" t="s">
        <v>215</v>
      </c>
      <c r="C40" s="51"/>
      <c r="D40" s="51"/>
      <c r="E40" s="51"/>
      <c r="F40" s="51"/>
      <c r="G40" s="51"/>
      <c r="H40" s="51"/>
      <c r="I40" s="51"/>
      <c r="J40" s="51"/>
      <c r="K40" s="52"/>
    </row>
    <row r="41" spans="1:11" ht="6.75" customHeight="1">
      <c r="A41" s="61"/>
      <c r="B41" s="51"/>
      <c r="C41" s="51"/>
      <c r="D41" s="51"/>
      <c r="E41" s="51"/>
      <c r="F41" s="51"/>
      <c r="G41" s="51"/>
      <c r="H41" s="51"/>
      <c r="I41" s="51"/>
      <c r="J41" s="51"/>
      <c r="K41" s="52"/>
    </row>
    <row r="42" spans="1:11" ht="12.75">
      <c r="A42" s="55" t="str">
        <f>Bioabfall!A36</f>
        <v>4.3.2</v>
      </c>
      <c r="B42" s="60" t="s">
        <v>255</v>
      </c>
      <c r="C42" s="51"/>
      <c r="D42" s="51"/>
      <c r="E42" s="51"/>
      <c r="F42" s="51"/>
      <c r="G42" s="51"/>
      <c r="H42" s="51"/>
      <c r="I42" s="51"/>
      <c r="J42" s="51"/>
      <c r="K42" s="52"/>
    </row>
    <row r="43" spans="1:11" ht="3.75" customHeight="1">
      <c r="A43" s="61"/>
      <c r="B43" s="51"/>
      <c r="C43" s="51"/>
      <c r="D43" s="51"/>
      <c r="E43" s="51"/>
      <c r="F43" s="51"/>
      <c r="G43" s="51"/>
      <c r="H43" s="51"/>
      <c r="I43" s="51"/>
      <c r="J43" s="51"/>
      <c r="K43" s="52"/>
    </row>
    <row r="44" spans="1:11" ht="12.75">
      <c r="A44" s="55" t="s">
        <v>538</v>
      </c>
      <c r="B44" s="60" t="s">
        <v>535</v>
      </c>
      <c r="C44" s="51"/>
      <c r="D44" s="51"/>
      <c r="E44" s="51"/>
      <c r="F44" s="51"/>
      <c r="G44" s="51"/>
      <c r="H44" s="51"/>
      <c r="I44" s="51"/>
      <c r="J44" s="51"/>
      <c r="K44" s="52"/>
    </row>
    <row r="45" spans="1:11" ht="12.75">
      <c r="A45" s="56"/>
      <c r="B45" s="59" t="s">
        <v>536</v>
      </c>
      <c r="C45" s="51"/>
      <c r="D45" s="51"/>
      <c r="E45" s="51"/>
      <c r="F45" s="51"/>
      <c r="G45" s="51"/>
      <c r="H45" s="51"/>
      <c r="I45" s="51"/>
      <c r="J45" s="51"/>
      <c r="K45" s="52"/>
    </row>
    <row r="46" spans="1:11" ht="12.75">
      <c r="A46" s="56"/>
      <c r="B46" s="51" t="s">
        <v>537</v>
      </c>
      <c r="C46" s="51"/>
      <c r="D46" s="51"/>
      <c r="E46" s="51"/>
      <c r="F46" s="51"/>
      <c r="G46" s="51"/>
      <c r="H46" s="51"/>
      <c r="I46" s="51"/>
      <c r="J46" s="51"/>
      <c r="K46" s="52"/>
    </row>
    <row r="47" spans="1:11" ht="4.5" customHeight="1">
      <c r="A47" s="57"/>
      <c r="B47" s="53"/>
      <c r="C47" s="53"/>
      <c r="D47" s="53"/>
      <c r="E47" s="53"/>
      <c r="F47" s="53"/>
      <c r="G47" s="53"/>
      <c r="H47" s="53"/>
      <c r="I47" s="53"/>
      <c r="J47" s="53"/>
      <c r="K47"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M45"/>
  <sheetViews>
    <sheetView showGridLines="0" workbookViewId="0" topLeftCell="A1">
      <selection activeCell="A1" sqref="A1"/>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135</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194</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197</v>
      </c>
      <c r="B6" s="63" t="s">
        <v>195</v>
      </c>
      <c r="C6" s="63"/>
      <c r="D6" s="63"/>
      <c r="E6" s="63"/>
      <c r="F6" s="63"/>
      <c r="G6" s="63"/>
      <c r="H6" s="63"/>
      <c r="I6" s="63"/>
      <c r="J6" s="63"/>
      <c r="K6" s="64"/>
    </row>
    <row r="7" spans="1:11" ht="12.75">
      <c r="A7" s="55" t="str">
        <f>Altpapier!A4</f>
        <v>5.</v>
      </c>
      <c r="B7" s="51" t="s">
        <v>258</v>
      </c>
      <c r="C7" s="51"/>
      <c r="D7" s="51"/>
      <c r="E7" s="51"/>
      <c r="F7" s="51"/>
      <c r="G7" s="51"/>
      <c r="H7" s="51"/>
      <c r="I7" s="51"/>
      <c r="J7" s="51"/>
      <c r="K7" s="52"/>
    </row>
    <row r="8" spans="1:11" ht="12.75">
      <c r="A8" s="61"/>
      <c r="B8" s="51" t="s">
        <v>259</v>
      </c>
      <c r="C8" s="51"/>
      <c r="D8" s="51"/>
      <c r="E8" s="51"/>
      <c r="F8" s="51"/>
      <c r="G8" s="51"/>
      <c r="H8" s="51"/>
      <c r="I8" s="51"/>
      <c r="J8" s="51"/>
      <c r="K8" s="52"/>
    </row>
    <row r="9" spans="1:11" ht="12.75">
      <c r="A9" s="61"/>
      <c r="B9" s="51" t="s">
        <v>267</v>
      </c>
      <c r="C9" s="51"/>
      <c r="D9" s="51"/>
      <c r="E9" s="51"/>
      <c r="F9" s="51"/>
      <c r="G9" s="51"/>
      <c r="H9" s="51"/>
      <c r="I9" s="51"/>
      <c r="J9" s="51"/>
      <c r="K9" s="52"/>
    </row>
    <row r="10" spans="1:11" ht="6.75" customHeight="1">
      <c r="A10" s="61"/>
      <c r="B10" s="51"/>
      <c r="C10" s="51"/>
      <c r="D10" s="51"/>
      <c r="E10" s="51"/>
      <c r="F10" s="51"/>
      <c r="G10" s="51"/>
      <c r="H10" s="51"/>
      <c r="I10" s="51"/>
      <c r="J10" s="51"/>
      <c r="K10" s="52"/>
    </row>
    <row r="11" spans="1:11" ht="12.75">
      <c r="A11" s="55" t="str">
        <f>Altpapier!A7</f>
        <v>5.1.1</v>
      </c>
      <c r="B11" s="51" t="s">
        <v>200</v>
      </c>
      <c r="C11" s="51"/>
      <c r="D11" s="51"/>
      <c r="E11" s="51"/>
      <c r="F11" s="51"/>
      <c r="G11" s="51"/>
      <c r="H11" s="51"/>
      <c r="I11" s="51"/>
      <c r="J11" s="51"/>
      <c r="K11" s="52"/>
    </row>
    <row r="12" spans="1:11" ht="12.75">
      <c r="A12" s="61"/>
      <c r="B12" s="59" t="s">
        <v>201</v>
      </c>
      <c r="C12" s="51"/>
      <c r="D12" s="51"/>
      <c r="E12" s="51"/>
      <c r="F12" s="51"/>
      <c r="G12" s="51"/>
      <c r="H12" s="51"/>
      <c r="I12" s="51"/>
      <c r="J12" s="51"/>
      <c r="K12" s="52"/>
    </row>
    <row r="13" spans="1:11" ht="12.75">
      <c r="A13" s="61"/>
      <c r="B13" s="51" t="s">
        <v>202</v>
      </c>
      <c r="C13" s="51"/>
      <c r="D13" s="51"/>
      <c r="E13" s="51"/>
      <c r="F13" s="51"/>
      <c r="G13" s="51"/>
      <c r="H13" s="51"/>
      <c r="I13" s="51"/>
      <c r="J13" s="51"/>
      <c r="K13" s="52"/>
    </row>
    <row r="14" spans="1:11" ht="12.75">
      <c r="A14" s="61"/>
      <c r="B14" s="51" t="s">
        <v>481</v>
      </c>
      <c r="C14" s="51"/>
      <c r="D14" s="51"/>
      <c r="E14" s="51"/>
      <c r="F14" s="51"/>
      <c r="G14" s="51"/>
      <c r="H14" s="51"/>
      <c r="I14" s="51"/>
      <c r="J14" s="51"/>
      <c r="K14" s="52"/>
    </row>
    <row r="15" spans="1:11" ht="12.75">
      <c r="A15" s="61"/>
      <c r="B15" s="51" t="s">
        <v>210</v>
      </c>
      <c r="C15" s="51"/>
      <c r="D15" s="51"/>
      <c r="E15" s="51"/>
      <c r="F15" s="51"/>
      <c r="G15" s="51"/>
      <c r="H15" s="51"/>
      <c r="I15" s="51"/>
      <c r="J15" s="51"/>
      <c r="K15" s="52"/>
    </row>
    <row r="16" spans="1:11" ht="12.75">
      <c r="A16" s="61"/>
      <c r="B16" s="51" t="s">
        <v>211</v>
      </c>
      <c r="C16" s="51"/>
      <c r="D16" s="51"/>
      <c r="E16" s="51"/>
      <c r="F16" s="51"/>
      <c r="G16" s="51"/>
      <c r="H16" s="51"/>
      <c r="I16" s="51"/>
      <c r="J16" s="51"/>
      <c r="K16" s="52"/>
    </row>
    <row r="17" spans="1:13" ht="12.75">
      <c r="A17" s="61"/>
      <c r="B17" s="51" t="s">
        <v>416</v>
      </c>
      <c r="C17" s="51"/>
      <c r="D17" s="51"/>
      <c r="E17" s="51"/>
      <c r="F17" s="51"/>
      <c r="G17" s="51"/>
      <c r="H17" s="51"/>
      <c r="I17" s="51"/>
      <c r="J17" s="51"/>
      <c r="K17" s="52"/>
      <c r="M17" s="58"/>
    </row>
    <row r="18" spans="1:11" ht="12.75">
      <c r="A18" s="61"/>
      <c r="B18" s="51" t="s">
        <v>205</v>
      </c>
      <c r="C18" s="51"/>
      <c r="D18" s="51"/>
      <c r="E18" s="51"/>
      <c r="F18" s="51"/>
      <c r="G18" s="51"/>
      <c r="H18" s="51"/>
      <c r="I18" s="51"/>
      <c r="J18" s="51"/>
      <c r="K18" s="52"/>
    </row>
    <row r="19" spans="1:11" ht="12.75">
      <c r="A19" s="61"/>
      <c r="B19" s="60" t="s">
        <v>206</v>
      </c>
      <c r="C19" s="51"/>
      <c r="D19" s="51"/>
      <c r="E19" s="51"/>
      <c r="F19" s="51"/>
      <c r="G19" s="51"/>
      <c r="H19" s="51"/>
      <c r="I19" s="51"/>
      <c r="J19" s="51"/>
      <c r="K19" s="52"/>
    </row>
    <row r="20" spans="1:11" ht="12.75">
      <c r="A20" s="61"/>
      <c r="B20" s="60" t="s">
        <v>207</v>
      </c>
      <c r="C20" s="51"/>
      <c r="D20" s="51"/>
      <c r="E20" s="51"/>
      <c r="F20" s="51"/>
      <c r="G20" s="51"/>
      <c r="H20" s="51"/>
      <c r="I20" s="51"/>
      <c r="J20" s="51"/>
      <c r="K20" s="52"/>
    </row>
    <row r="21" spans="1:11" ht="12.75">
      <c r="A21" s="61"/>
      <c r="B21" s="60" t="s">
        <v>208</v>
      </c>
      <c r="C21" s="51"/>
      <c r="D21" s="51"/>
      <c r="E21" s="51"/>
      <c r="F21" s="51"/>
      <c r="G21" s="51"/>
      <c r="H21" s="51"/>
      <c r="I21" s="51"/>
      <c r="J21" s="51"/>
      <c r="K21" s="52"/>
    </row>
    <row r="22" spans="1:11" ht="12.75" customHeight="1">
      <c r="A22" s="61"/>
      <c r="B22" s="60" t="s">
        <v>209</v>
      </c>
      <c r="C22" s="51"/>
      <c r="D22" s="51"/>
      <c r="E22" s="51"/>
      <c r="F22" s="51"/>
      <c r="G22" s="51"/>
      <c r="H22" s="51"/>
      <c r="I22" s="51"/>
      <c r="J22" s="51"/>
      <c r="K22" s="52"/>
    </row>
    <row r="23" spans="1:11" ht="6.75" customHeight="1">
      <c r="A23" s="61"/>
      <c r="K23" s="222"/>
    </row>
    <row r="24" spans="1:11" ht="12.75">
      <c r="A24" s="55" t="str">
        <f>Altpapier!A19</f>
        <v>5.1.2</v>
      </c>
      <c r="B24" s="51" t="s">
        <v>200</v>
      </c>
      <c r="C24" s="51"/>
      <c r="D24" s="51"/>
      <c r="E24" s="51"/>
      <c r="F24" s="51"/>
      <c r="G24" s="51"/>
      <c r="H24" s="51"/>
      <c r="I24" s="51"/>
      <c r="J24" s="51"/>
      <c r="K24" s="52"/>
    </row>
    <row r="25" spans="1:11" ht="12.75">
      <c r="A25" s="61"/>
      <c r="B25" s="59" t="s">
        <v>201</v>
      </c>
      <c r="C25" s="51"/>
      <c r="D25" s="51"/>
      <c r="E25" s="51"/>
      <c r="F25" s="51"/>
      <c r="G25" s="51"/>
      <c r="H25" s="51"/>
      <c r="I25" s="51"/>
      <c r="J25" s="51"/>
      <c r="K25" s="52"/>
    </row>
    <row r="26" spans="1:11" ht="12.75">
      <c r="A26" s="61"/>
      <c r="B26" s="51" t="s">
        <v>202</v>
      </c>
      <c r="C26" s="51"/>
      <c r="D26" s="51"/>
      <c r="E26" s="51"/>
      <c r="F26" s="51"/>
      <c r="G26" s="51"/>
      <c r="H26" s="51"/>
      <c r="I26" s="51"/>
      <c r="J26" s="51"/>
      <c r="K26" s="52"/>
    </row>
    <row r="27" spans="1:11" ht="12.75">
      <c r="A27" s="61"/>
      <c r="B27" s="51" t="s">
        <v>481</v>
      </c>
      <c r="C27" s="51"/>
      <c r="D27" s="51"/>
      <c r="E27" s="51"/>
      <c r="F27" s="51"/>
      <c r="G27" s="51"/>
      <c r="H27" s="51"/>
      <c r="I27" s="51"/>
      <c r="J27" s="51"/>
      <c r="K27" s="52"/>
    </row>
    <row r="28" spans="1:11" ht="12.75">
      <c r="A28" s="61"/>
      <c r="B28" s="51" t="s">
        <v>203</v>
      </c>
      <c r="C28" s="51"/>
      <c r="D28" s="51"/>
      <c r="E28" s="51"/>
      <c r="F28" s="51"/>
      <c r="G28" s="51"/>
      <c r="H28" s="51"/>
      <c r="I28" s="51"/>
      <c r="J28" s="51"/>
      <c r="K28" s="52"/>
    </row>
    <row r="29" spans="1:11" ht="12.75">
      <c r="A29" s="61"/>
      <c r="B29" s="51" t="s">
        <v>415</v>
      </c>
      <c r="C29" s="51"/>
      <c r="D29" s="51"/>
      <c r="E29" s="51"/>
      <c r="F29" s="51"/>
      <c r="G29" s="51"/>
      <c r="H29" s="51"/>
      <c r="I29" s="51"/>
      <c r="J29" s="51"/>
      <c r="K29" s="52"/>
    </row>
    <row r="30" spans="1:11" ht="12.75">
      <c r="A30" s="61"/>
      <c r="B30" s="51" t="s">
        <v>205</v>
      </c>
      <c r="C30" s="51"/>
      <c r="D30" s="51"/>
      <c r="E30" s="51"/>
      <c r="F30" s="51"/>
      <c r="G30" s="51"/>
      <c r="H30" s="51"/>
      <c r="I30" s="51"/>
      <c r="J30" s="51"/>
      <c r="K30" s="52"/>
    </row>
    <row r="31" spans="1:13" ht="12.75">
      <c r="A31" s="61"/>
      <c r="B31" s="60" t="s">
        <v>206</v>
      </c>
      <c r="C31" s="51"/>
      <c r="D31" s="51"/>
      <c r="E31" s="51"/>
      <c r="F31" s="51"/>
      <c r="G31" s="51"/>
      <c r="H31" s="51"/>
      <c r="I31" s="51"/>
      <c r="J31" s="51"/>
      <c r="K31" s="52"/>
      <c r="M31" s="58"/>
    </row>
    <row r="32" spans="1:11" ht="12.75">
      <c r="A32" s="61"/>
      <c r="B32" s="60" t="s">
        <v>207</v>
      </c>
      <c r="C32" s="51"/>
      <c r="D32" s="51"/>
      <c r="E32" s="51"/>
      <c r="F32" s="51"/>
      <c r="G32" s="51"/>
      <c r="H32" s="51"/>
      <c r="I32" s="51"/>
      <c r="J32" s="51"/>
      <c r="K32" s="52"/>
    </row>
    <row r="33" spans="1:11" ht="12.75">
      <c r="A33" s="61"/>
      <c r="B33" s="60" t="s">
        <v>208</v>
      </c>
      <c r="C33" s="51"/>
      <c r="D33" s="51"/>
      <c r="E33" s="51"/>
      <c r="F33" s="51"/>
      <c r="G33" s="51"/>
      <c r="H33" s="51"/>
      <c r="I33" s="51"/>
      <c r="J33" s="51"/>
      <c r="K33" s="52"/>
    </row>
    <row r="34" spans="1:11" ht="12.75">
      <c r="A34" s="61"/>
      <c r="B34" s="60" t="s">
        <v>209</v>
      </c>
      <c r="C34" s="51"/>
      <c r="D34" s="51"/>
      <c r="E34" s="51"/>
      <c r="F34" s="51"/>
      <c r="G34" s="51"/>
      <c r="H34" s="51"/>
      <c r="I34" s="51"/>
      <c r="J34" s="51"/>
      <c r="K34" s="52"/>
    </row>
    <row r="35" spans="1:11" ht="6.75" customHeight="1">
      <c r="A35" s="61"/>
      <c r="B35" s="51"/>
      <c r="C35" s="51"/>
      <c r="D35" s="51"/>
      <c r="E35" s="51"/>
      <c r="F35" s="51"/>
      <c r="G35" s="51"/>
      <c r="H35" s="51"/>
      <c r="I35" s="51"/>
      <c r="J35" s="51"/>
      <c r="K35" s="52"/>
    </row>
    <row r="36" spans="1:11" ht="12.75">
      <c r="A36" s="55" t="str">
        <f>Altpapier!A35</f>
        <v>5.3.1</v>
      </c>
      <c r="B36" s="60" t="s">
        <v>262</v>
      </c>
      <c r="C36" s="51"/>
      <c r="D36" s="51"/>
      <c r="E36" s="51"/>
      <c r="F36" s="51"/>
      <c r="G36" s="51"/>
      <c r="H36" s="51"/>
      <c r="I36" s="51"/>
      <c r="J36" s="51"/>
      <c r="K36" s="52"/>
    </row>
    <row r="37" spans="1:11" ht="12.75">
      <c r="A37" s="61"/>
      <c r="B37" s="59" t="s">
        <v>213</v>
      </c>
      <c r="C37" s="51"/>
      <c r="D37" s="51"/>
      <c r="E37" s="51"/>
      <c r="F37" s="51"/>
      <c r="G37" s="51"/>
      <c r="H37" s="51"/>
      <c r="I37" s="51"/>
      <c r="J37" s="51"/>
      <c r="K37" s="52"/>
    </row>
    <row r="38" spans="1:11" ht="12.75">
      <c r="A38" s="61"/>
      <c r="B38" s="51" t="s">
        <v>214</v>
      </c>
      <c r="C38" s="51"/>
      <c r="D38" s="51"/>
      <c r="E38" s="51"/>
      <c r="F38" s="51"/>
      <c r="G38" s="51"/>
      <c r="H38" s="51"/>
      <c r="I38" s="51"/>
      <c r="J38" s="51"/>
      <c r="K38" s="52"/>
    </row>
    <row r="39" spans="1:11" ht="12.75">
      <c r="A39" s="61"/>
      <c r="B39" s="60" t="s">
        <v>215</v>
      </c>
      <c r="C39" s="51"/>
      <c r="D39" s="51"/>
      <c r="E39" s="51"/>
      <c r="F39" s="51"/>
      <c r="G39" s="51"/>
      <c r="H39" s="51"/>
      <c r="I39" s="51"/>
      <c r="J39" s="51"/>
      <c r="K39" s="52"/>
    </row>
    <row r="40" spans="1:11" ht="12.75">
      <c r="A40" s="55" t="str">
        <f>Altpapier!A36</f>
        <v>5.3.2</v>
      </c>
      <c r="B40" s="60" t="s">
        <v>263</v>
      </c>
      <c r="C40" s="51"/>
      <c r="D40" s="51"/>
      <c r="E40" s="51"/>
      <c r="F40" s="51"/>
      <c r="G40" s="51"/>
      <c r="H40" s="51"/>
      <c r="I40" s="51"/>
      <c r="J40" s="51"/>
      <c r="K40" s="52"/>
    </row>
    <row r="41" spans="1:11" ht="12.75">
      <c r="A41" s="55" t="s">
        <v>152</v>
      </c>
      <c r="B41" s="60" t="s">
        <v>535</v>
      </c>
      <c r="C41" s="51"/>
      <c r="D41" s="51"/>
      <c r="E41" s="51"/>
      <c r="F41" s="51"/>
      <c r="G41" s="51"/>
      <c r="H41" s="51"/>
      <c r="I41" s="51"/>
      <c r="J41" s="51"/>
      <c r="K41" s="52"/>
    </row>
    <row r="42" spans="1:11" ht="12.75">
      <c r="A42" s="56"/>
      <c r="B42" s="59" t="s">
        <v>536</v>
      </c>
      <c r="C42" s="51"/>
      <c r="D42" s="51"/>
      <c r="E42" s="51"/>
      <c r="F42" s="51"/>
      <c r="G42" s="51"/>
      <c r="H42" s="51"/>
      <c r="I42" s="51"/>
      <c r="J42" s="51"/>
      <c r="K42" s="52"/>
    </row>
    <row r="43" spans="1:11" ht="12.75">
      <c r="A43" s="56"/>
      <c r="B43" s="51" t="s">
        <v>537</v>
      </c>
      <c r="C43" s="51"/>
      <c r="D43" s="51"/>
      <c r="E43" s="51"/>
      <c r="F43" s="51"/>
      <c r="G43" s="51"/>
      <c r="H43" s="51"/>
      <c r="I43" s="51"/>
      <c r="J43" s="51"/>
      <c r="K43" s="52"/>
    </row>
    <row r="44" spans="1:11" ht="12.75">
      <c r="A44" s="55" t="str">
        <f>Altpapier!A39</f>
        <v>5.3.4</v>
      </c>
      <c r="B44" s="60" t="s">
        <v>264</v>
      </c>
      <c r="C44" s="51"/>
      <c r="D44" s="51"/>
      <c r="E44" s="51"/>
      <c r="F44" s="51"/>
      <c r="G44" s="51"/>
      <c r="H44" s="51"/>
      <c r="I44" s="51"/>
      <c r="J44" s="51"/>
      <c r="K44" s="52"/>
    </row>
    <row r="45" spans="1:11" ht="4.5" customHeight="1">
      <c r="A45" s="68"/>
      <c r="B45" s="53"/>
      <c r="C45" s="53"/>
      <c r="D45" s="53"/>
      <c r="E45" s="53"/>
      <c r="F45" s="53"/>
      <c r="G45" s="53"/>
      <c r="H45" s="53"/>
      <c r="I45" s="53"/>
      <c r="J45" s="53"/>
      <c r="K45"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M44"/>
  <sheetViews>
    <sheetView showGridLines="0" workbookViewId="0" topLeftCell="A10">
      <selection activeCell="B36" sqref="B36"/>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135</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337</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197</v>
      </c>
      <c r="B6" s="63" t="s">
        <v>195</v>
      </c>
      <c r="C6" s="63"/>
      <c r="D6" s="63"/>
      <c r="E6" s="63"/>
      <c r="F6" s="63"/>
      <c r="G6" s="63"/>
      <c r="H6" s="63"/>
      <c r="I6" s="63"/>
      <c r="J6" s="63"/>
      <c r="K6" s="64"/>
    </row>
    <row r="7" spans="1:11" ht="12.75">
      <c r="A7" s="55" t="str">
        <f>Altstoffsammelzentrum!A18</f>
        <v>6.3</v>
      </c>
      <c r="B7" s="51" t="s">
        <v>342</v>
      </c>
      <c r="C7" s="51"/>
      <c r="D7" s="51"/>
      <c r="E7" s="51"/>
      <c r="F7" s="51"/>
      <c r="G7" s="51"/>
      <c r="H7" s="51"/>
      <c r="I7" s="51"/>
      <c r="J7" s="51"/>
      <c r="K7" s="52"/>
    </row>
    <row r="8" spans="1:11" ht="12.75">
      <c r="A8" s="61"/>
      <c r="B8" s="51" t="s">
        <v>482</v>
      </c>
      <c r="C8" s="51"/>
      <c r="D8" s="51"/>
      <c r="E8" s="51"/>
      <c r="F8" s="51"/>
      <c r="G8" s="51"/>
      <c r="H8" s="51"/>
      <c r="I8" s="51"/>
      <c r="J8" s="51"/>
      <c r="K8" s="52"/>
    </row>
    <row r="9" spans="1:11" ht="12.75">
      <c r="A9" s="55" t="str">
        <f>Altstoffsammelzentrum!A20</f>
        <v>6.4</v>
      </c>
      <c r="B9" s="51" t="s">
        <v>343</v>
      </c>
      <c r="C9" s="51"/>
      <c r="D9" s="51"/>
      <c r="E9" s="51"/>
      <c r="F9" s="51"/>
      <c r="G9" s="51"/>
      <c r="H9" s="51"/>
      <c r="I9" s="51"/>
      <c r="J9" s="51"/>
      <c r="K9" s="52"/>
    </row>
    <row r="10" spans="1:11" ht="12.75">
      <c r="A10" s="61"/>
      <c r="B10" s="51" t="s">
        <v>339</v>
      </c>
      <c r="C10" s="51"/>
      <c r="D10" s="51"/>
      <c r="E10" s="51"/>
      <c r="F10" s="51"/>
      <c r="G10" s="51"/>
      <c r="H10" s="51"/>
      <c r="I10" s="51"/>
      <c r="J10" s="51"/>
      <c r="K10" s="52"/>
    </row>
    <row r="11" spans="1:11" ht="12.75">
      <c r="A11" s="61"/>
      <c r="B11" s="51" t="s">
        <v>338</v>
      </c>
      <c r="C11" s="51"/>
      <c r="D11" s="51"/>
      <c r="E11" s="51"/>
      <c r="F11" s="51"/>
      <c r="G11" s="51"/>
      <c r="H11" s="51"/>
      <c r="I11" s="51"/>
      <c r="J11" s="51"/>
      <c r="K11" s="52"/>
    </row>
    <row r="12" spans="1:11" ht="12.75">
      <c r="A12" s="55" t="str">
        <f>Altstoffsammelzentrum!A22</f>
        <v>6.5</v>
      </c>
      <c r="B12" s="59" t="s">
        <v>344</v>
      </c>
      <c r="C12" s="51"/>
      <c r="D12" s="51"/>
      <c r="E12" s="51"/>
      <c r="F12" s="51"/>
      <c r="G12" s="51"/>
      <c r="H12" s="51"/>
      <c r="I12" s="51"/>
      <c r="J12" s="51"/>
      <c r="K12" s="52"/>
    </row>
    <row r="13" spans="1:11" ht="12.75">
      <c r="A13" s="55" t="str">
        <f>Altstoffsammelzentrum!A24</f>
        <v>6.6</v>
      </c>
      <c r="B13" s="51" t="s">
        <v>346</v>
      </c>
      <c r="C13" s="51"/>
      <c r="D13" s="51"/>
      <c r="E13" s="51"/>
      <c r="F13" s="51"/>
      <c r="G13" s="51"/>
      <c r="H13" s="51"/>
      <c r="I13" s="51"/>
      <c r="J13" s="51"/>
      <c r="K13" s="52"/>
    </row>
    <row r="14" spans="1:11" ht="12.75">
      <c r="A14" s="61"/>
      <c r="B14" s="51" t="s">
        <v>345</v>
      </c>
      <c r="C14" s="51"/>
      <c r="D14" s="51"/>
      <c r="E14" s="51"/>
      <c r="F14" s="51"/>
      <c r="G14" s="51"/>
      <c r="H14" s="51"/>
      <c r="I14" s="51"/>
      <c r="J14" s="51"/>
      <c r="K14" s="52"/>
    </row>
    <row r="15" spans="1:11" ht="12.75">
      <c r="A15" s="61"/>
      <c r="B15" s="60" t="s">
        <v>341</v>
      </c>
      <c r="C15" s="51"/>
      <c r="D15" s="51"/>
      <c r="E15" s="51"/>
      <c r="F15" s="51"/>
      <c r="G15" s="51"/>
      <c r="H15" s="51"/>
      <c r="I15" s="51"/>
      <c r="J15" s="51"/>
      <c r="K15" s="52"/>
    </row>
    <row r="16" spans="1:11" ht="12.75">
      <c r="A16" s="61"/>
      <c r="B16" s="51" t="s">
        <v>340</v>
      </c>
      <c r="C16" s="51"/>
      <c r="D16" s="51"/>
      <c r="E16" s="51"/>
      <c r="F16" s="51"/>
      <c r="G16" s="51"/>
      <c r="H16" s="51"/>
      <c r="I16" s="51"/>
      <c r="J16" s="51"/>
      <c r="K16" s="52"/>
    </row>
    <row r="17" spans="1:13" ht="12.75">
      <c r="A17" s="61"/>
      <c r="B17" s="60" t="s">
        <v>347</v>
      </c>
      <c r="C17" s="51"/>
      <c r="D17" s="51"/>
      <c r="E17" s="51"/>
      <c r="F17" s="51"/>
      <c r="G17" s="51"/>
      <c r="H17" s="51"/>
      <c r="I17" s="51"/>
      <c r="J17" s="51"/>
      <c r="K17" s="52"/>
      <c r="M17" s="58"/>
    </row>
    <row r="18" spans="1:11" ht="12.75">
      <c r="A18" s="61"/>
      <c r="B18" s="60" t="s">
        <v>505</v>
      </c>
      <c r="C18" s="51"/>
      <c r="D18" s="51"/>
      <c r="E18" s="51"/>
      <c r="F18" s="51"/>
      <c r="G18" s="51"/>
      <c r="H18" s="51"/>
      <c r="I18" s="51"/>
      <c r="J18" s="51"/>
      <c r="K18" s="52"/>
    </row>
    <row r="19" spans="1:11" ht="12.75">
      <c r="A19" s="61"/>
      <c r="B19" s="67" t="s">
        <v>544</v>
      </c>
      <c r="C19" s="51"/>
      <c r="D19" s="51"/>
      <c r="E19" s="51"/>
      <c r="F19" s="51"/>
      <c r="G19" s="51"/>
      <c r="H19" s="51"/>
      <c r="I19" s="51"/>
      <c r="J19" s="51"/>
      <c r="K19" s="52"/>
    </row>
    <row r="20" spans="1:11" ht="12.75">
      <c r="A20" s="61"/>
      <c r="B20" s="60" t="s">
        <v>348</v>
      </c>
      <c r="C20" s="51"/>
      <c r="D20" s="51"/>
      <c r="E20" s="51"/>
      <c r="F20" s="51"/>
      <c r="G20" s="51"/>
      <c r="H20" s="51"/>
      <c r="I20" s="51"/>
      <c r="J20" s="51"/>
      <c r="K20" s="52"/>
    </row>
    <row r="21" spans="1:11" ht="12.75">
      <c r="A21" s="61"/>
      <c r="B21" s="67" t="s">
        <v>350</v>
      </c>
      <c r="C21" s="51"/>
      <c r="D21" s="51"/>
      <c r="E21" s="51"/>
      <c r="F21" s="51"/>
      <c r="G21" s="51"/>
      <c r="H21" s="51"/>
      <c r="I21" s="51"/>
      <c r="J21" s="51"/>
      <c r="K21" s="52"/>
    </row>
    <row r="22" spans="1:11" ht="12.75">
      <c r="A22" s="61"/>
      <c r="B22" s="67" t="s">
        <v>510</v>
      </c>
      <c r="C22" s="51"/>
      <c r="D22" s="51"/>
      <c r="E22" s="51"/>
      <c r="F22" s="51"/>
      <c r="G22" s="51"/>
      <c r="H22" s="51"/>
      <c r="I22" s="51"/>
      <c r="J22" s="51"/>
      <c r="K22" s="52"/>
    </row>
    <row r="23" spans="1:11" ht="12.75">
      <c r="A23" s="61"/>
      <c r="B23" s="67" t="s">
        <v>509</v>
      </c>
      <c r="C23" s="51"/>
      <c r="D23" s="51"/>
      <c r="E23" s="51"/>
      <c r="F23" s="51"/>
      <c r="G23" s="51"/>
      <c r="H23" s="51"/>
      <c r="I23" s="51"/>
      <c r="J23" s="51"/>
      <c r="K23" s="52"/>
    </row>
    <row r="24" spans="1:11" ht="12.75">
      <c r="A24" s="61"/>
      <c r="B24" s="67" t="s">
        <v>503</v>
      </c>
      <c r="C24" s="51"/>
      <c r="D24" s="51"/>
      <c r="E24" s="51"/>
      <c r="F24" s="51"/>
      <c r="G24" s="51"/>
      <c r="H24" s="51"/>
      <c r="I24" s="51"/>
      <c r="J24" s="51"/>
      <c r="K24" s="52"/>
    </row>
    <row r="25" spans="1:11" ht="12.75">
      <c r="A25" s="61"/>
      <c r="B25" s="83" t="s">
        <v>349</v>
      </c>
      <c r="C25" s="51"/>
      <c r="D25" s="51"/>
      <c r="E25" s="51"/>
      <c r="F25" s="51"/>
      <c r="G25" s="51"/>
      <c r="H25" s="51"/>
      <c r="I25" s="51"/>
      <c r="J25" s="51"/>
      <c r="K25" s="52"/>
    </row>
    <row r="26" spans="1:11" ht="12.75">
      <c r="A26" s="61"/>
      <c r="B26" s="83" t="s">
        <v>504</v>
      </c>
      <c r="C26" s="51"/>
      <c r="D26" s="51"/>
      <c r="E26" s="51"/>
      <c r="F26" s="51"/>
      <c r="G26" s="51"/>
      <c r="H26" s="51"/>
      <c r="I26" s="51"/>
      <c r="J26" s="51"/>
      <c r="K26" s="52"/>
    </row>
    <row r="27" spans="1:11" ht="12.75">
      <c r="A27" s="61"/>
      <c r="B27" s="82" t="s">
        <v>351</v>
      </c>
      <c r="C27" s="51"/>
      <c r="D27" s="51"/>
      <c r="E27" s="51"/>
      <c r="F27" s="51"/>
      <c r="G27" s="51"/>
      <c r="H27" s="51"/>
      <c r="I27" s="51"/>
      <c r="J27" s="51"/>
      <c r="K27" s="52"/>
    </row>
    <row r="28" spans="1:11" ht="12.75">
      <c r="A28" s="61"/>
      <c r="B28" s="59" t="s">
        <v>507</v>
      </c>
      <c r="C28" s="51"/>
      <c r="D28" s="51"/>
      <c r="E28" s="51"/>
      <c r="F28" s="51"/>
      <c r="G28" s="51"/>
      <c r="H28" s="51"/>
      <c r="I28" s="51"/>
      <c r="J28" s="51"/>
      <c r="K28" s="52"/>
    </row>
    <row r="29" spans="1:11" ht="12.75">
      <c r="A29" s="61"/>
      <c r="B29" s="51" t="s">
        <v>508</v>
      </c>
      <c r="C29" s="51"/>
      <c r="D29" s="51"/>
      <c r="E29" s="51"/>
      <c r="F29" s="51"/>
      <c r="G29" s="51"/>
      <c r="H29" s="51"/>
      <c r="I29" s="51"/>
      <c r="J29" s="51"/>
      <c r="K29" s="52"/>
    </row>
    <row r="30" spans="1:11" ht="12.75">
      <c r="A30" s="61"/>
      <c r="B30" s="60" t="s">
        <v>506</v>
      </c>
      <c r="C30" s="51"/>
      <c r="D30" s="51"/>
      <c r="E30" s="51"/>
      <c r="F30" s="51"/>
      <c r="G30" s="51"/>
      <c r="H30" s="51"/>
      <c r="I30" s="51"/>
      <c r="J30" s="51"/>
      <c r="K30" s="52"/>
    </row>
    <row r="31" spans="1:13" ht="12.75">
      <c r="A31" s="55" t="str">
        <f>Altstoffsammelzentrum!A43</f>
        <v>6.7</v>
      </c>
      <c r="B31" s="60" t="s">
        <v>545</v>
      </c>
      <c r="C31" s="51"/>
      <c r="D31" s="51"/>
      <c r="E31" s="51"/>
      <c r="F31" s="51"/>
      <c r="G31" s="51"/>
      <c r="H31" s="51"/>
      <c r="I31" s="51"/>
      <c r="J31" s="51"/>
      <c r="K31" s="52"/>
      <c r="M31" s="58"/>
    </row>
    <row r="32" spans="1:13" ht="12.75">
      <c r="A32" s="61"/>
      <c r="B32" s="67" t="s">
        <v>539</v>
      </c>
      <c r="C32" s="51"/>
      <c r="D32" s="51"/>
      <c r="E32" s="51"/>
      <c r="F32" s="51"/>
      <c r="G32" s="51"/>
      <c r="H32" s="51"/>
      <c r="I32" s="51"/>
      <c r="J32" s="51"/>
      <c r="K32" s="52"/>
      <c r="M32" s="58"/>
    </row>
    <row r="33" spans="1:11" ht="12.75">
      <c r="A33" s="61"/>
      <c r="B33" s="60" t="s">
        <v>564</v>
      </c>
      <c r="C33" s="51"/>
      <c r="D33" s="51"/>
      <c r="E33" s="51"/>
      <c r="F33" s="51"/>
      <c r="G33" s="51"/>
      <c r="H33" s="51"/>
      <c r="I33" s="51"/>
      <c r="J33" s="51"/>
      <c r="K33" s="52"/>
    </row>
    <row r="34" spans="1:11" ht="12.75">
      <c r="A34" s="61"/>
      <c r="B34" s="67" t="s">
        <v>563</v>
      </c>
      <c r="C34" s="51"/>
      <c r="D34" s="51"/>
      <c r="E34" s="51"/>
      <c r="F34" s="51"/>
      <c r="G34" s="51"/>
      <c r="H34" s="51"/>
      <c r="I34" s="51"/>
      <c r="J34" s="51"/>
      <c r="K34" s="52"/>
    </row>
    <row r="35" spans="1:11" ht="12.75">
      <c r="A35" s="61"/>
      <c r="B35" s="60" t="s">
        <v>565</v>
      </c>
      <c r="C35" s="51"/>
      <c r="D35" s="51"/>
      <c r="E35" s="51"/>
      <c r="F35" s="51"/>
      <c r="G35" s="51"/>
      <c r="H35" s="51"/>
      <c r="I35" s="51"/>
      <c r="J35" s="51"/>
      <c r="K35" s="52"/>
    </row>
    <row r="36" spans="1:11" ht="12.75">
      <c r="A36" s="61"/>
      <c r="B36" s="60" t="s">
        <v>354</v>
      </c>
      <c r="C36" s="51"/>
      <c r="D36" s="51"/>
      <c r="E36" s="51"/>
      <c r="F36" s="51"/>
      <c r="G36" s="51"/>
      <c r="H36" s="51"/>
      <c r="I36" s="51"/>
      <c r="J36" s="51"/>
      <c r="K36" s="52"/>
    </row>
    <row r="37" spans="1:11" ht="12.75">
      <c r="A37" s="61"/>
      <c r="B37" s="67" t="s">
        <v>352</v>
      </c>
      <c r="C37" s="51"/>
      <c r="D37" s="51"/>
      <c r="E37" s="51"/>
      <c r="F37" s="51"/>
      <c r="G37" s="51"/>
      <c r="H37" s="51"/>
      <c r="I37" s="51"/>
      <c r="J37" s="51"/>
      <c r="K37" s="52"/>
    </row>
    <row r="38" spans="1:11" ht="12.75">
      <c r="A38" s="61"/>
      <c r="B38" s="60" t="s">
        <v>355</v>
      </c>
      <c r="C38" s="51"/>
      <c r="D38" s="51"/>
      <c r="E38" s="51"/>
      <c r="F38" s="51"/>
      <c r="G38" s="51"/>
      <c r="H38" s="51"/>
      <c r="I38" s="51"/>
      <c r="J38" s="51"/>
      <c r="K38" s="52"/>
    </row>
    <row r="39" spans="1:11" ht="12.75">
      <c r="A39" s="61"/>
      <c r="B39" s="67" t="s">
        <v>356</v>
      </c>
      <c r="C39" s="51"/>
      <c r="D39" s="51"/>
      <c r="E39" s="51"/>
      <c r="F39" s="51"/>
      <c r="G39" s="51"/>
      <c r="H39" s="51"/>
      <c r="I39" s="51"/>
      <c r="J39" s="51"/>
      <c r="K39" s="52"/>
    </row>
    <row r="40" spans="1:11" ht="12.75">
      <c r="A40" s="61"/>
      <c r="B40" s="67" t="s">
        <v>499</v>
      </c>
      <c r="C40" s="51"/>
      <c r="D40" s="51"/>
      <c r="E40" s="51"/>
      <c r="F40" s="51"/>
      <c r="G40" s="51"/>
      <c r="H40" s="51"/>
      <c r="I40" s="51"/>
      <c r="J40" s="51"/>
      <c r="K40" s="52"/>
    </row>
    <row r="41" spans="1:11" ht="12.75">
      <c r="A41" s="61"/>
      <c r="B41" s="67" t="s">
        <v>546</v>
      </c>
      <c r="C41" s="51"/>
      <c r="D41" s="51"/>
      <c r="E41" s="51"/>
      <c r="F41" s="51"/>
      <c r="G41" s="51"/>
      <c r="H41" s="51"/>
      <c r="I41" s="51"/>
      <c r="J41" s="51"/>
      <c r="K41" s="52"/>
    </row>
    <row r="42" spans="1:11" ht="12.75">
      <c r="A42" s="55" t="str">
        <f>Altstoffsammelzentrum!A63</f>
        <v>6.8</v>
      </c>
      <c r="B42" s="82" t="s">
        <v>357</v>
      </c>
      <c r="C42" s="51"/>
      <c r="D42" s="51"/>
      <c r="E42" s="51"/>
      <c r="F42" s="51"/>
      <c r="G42" s="51"/>
      <c r="H42" s="51"/>
      <c r="I42" s="51"/>
      <c r="J42" s="51"/>
      <c r="K42" s="52"/>
    </row>
    <row r="43" spans="1:11" ht="12.75">
      <c r="A43" s="61"/>
      <c r="B43" s="51" t="s">
        <v>394</v>
      </c>
      <c r="C43" s="51"/>
      <c r="D43" s="51"/>
      <c r="E43" s="51"/>
      <c r="F43" s="51"/>
      <c r="G43" s="51"/>
      <c r="H43" s="51"/>
      <c r="I43" s="51"/>
      <c r="J43" s="51"/>
      <c r="K43" s="52"/>
    </row>
    <row r="44" spans="1:11" ht="5.25" customHeight="1">
      <c r="A44" s="68"/>
      <c r="B44" s="53"/>
      <c r="C44" s="53"/>
      <c r="D44" s="53"/>
      <c r="E44" s="53"/>
      <c r="F44" s="53"/>
      <c r="G44" s="53"/>
      <c r="H44" s="53"/>
      <c r="I44" s="53"/>
      <c r="J44" s="53"/>
      <c r="K44"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M46"/>
  <sheetViews>
    <sheetView showGridLines="0" workbookViewId="0" topLeftCell="A1">
      <selection activeCell="E28" sqref="E28"/>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135</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359</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197</v>
      </c>
      <c r="B6" s="63" t="s">
        <v>195</v>
      </c>
      <c r="C6" s="63"/>
      <c r="D6" s="63"/>
      <c r="E6" s="63"/>
      <c r="F6" s="63"/>
      <c r="G6" s="63"/>
      <c r="H6" s="63"/>
      <c r="I6" s="63"/>
      <c r="J6" s="63"/>
      <c r="K6" s="64"/>
    </row>
    <row r="7" spans="1:11" ht="12.75">
      <c r="A7" s="55" t="str">
        <f>Kosten_Einnahmen_Gebühren!A6</f>
        <v>7.1</v>
      </c>
      <c r="B7" s="51" t="s">
        <v>401</v>
      </c>
      <c r="C7" s="51"/>
      <c r="D7" s="51"/>
      <c r="E7" s="51"/>
      <c r="F7" s="51"/>
      <c r="G7" s="51"/>
      <c r="H7" s="51"/>
      <c r="I7" s="51"/>
      <c r="J7" s="51"/>
      <c r="K7" s="52"/>
    </row>
    <row r="8" spans="1:11" ht="12.75">
      <c r="A8" s="61"/>
      <c r="B8" s="51" t="s">
        <v>45</v>
      </c>
      <c r="C8" s="51"/>
      <c r="D8" s="51"/>
      <c r="E8" s="51"/>
      <c r="F8" s="51"/>
      <c r="G8" s="51"/>
      <c r="H8" s="51"/>
      <c r="I8" s="51"/>
      <c r="J8" s="51"/>
      <c r="K8" s="52"/>
    </row>
    <row r="9" spans="1:11" ht="12.75">
      <c r="A9" s="61"/>
      <c r="B9" s="51" t="s">
        <v>462</v>
      </c>
      <c r="C9" s="51"/>
      <c r="D9" s="51"/>
      <c r="E9" s="51"/>
      <c r="F9" s="51"/>
      <c r="G9" s="51"/>
      <c r="H9" s="51"/>
      <c r="I9" s="51"/>
      <c r="J9" s="51"/>
      <c r="K9" s="52"/>
    </row>
    <row r="10" spans="1:11" ht="12.75">
      <c r="A10" s="61"/>
      <c r="B10" s="60" t="s">
        <v>560</v>
      </c>
      <c r="C10" s="51"/>
      <c r="D10" s="51"/>
      <c r="E10" s="51"/>
      <c r="F10" s="51"/>
      <c r="G10" s="51"/>
      <c r="H10" s="51"/>
      <c r="I10" s="51"/>
      <c r="J10" s="51"/>
      <c r="K10" s="52"/>
    </row>
    <row r="11" spans="1:11" ht="12.75">
      <c r="A11" s="61"/>
      <c r="B11" s="51" t="s">
        <v>402</v>
      </c>
      <c r="C11" s="51"/>
      <c r="D11" s="51"/>
      <c r="E11" s="51"/>
      <c r="F11" s="51"/>
      <c r="G11" s="51"/>
      <c r="H11" s="51"/>
      <c r="I11" s="51"/>
      <c r="J11" s="51"/>
      <c r="K11" s="52"/>
    </row>
    <row r="12" spans="1:11" ht="12.75">
      <c r="A12" s="61"/>
      <c r="B12" s="60" t="s">
        <v>464</v>
      </c>
      <c r="C12" s="51"/>
      <c r="D12" s="51"/>
      <c r="E12" s="51"/>
      <c r="F12" s="51"/>
      <c r="G12" s="51"/>
      <c r="H12" s="51"/>
      <c r="I12" s="51"/>
      <c r="J12" s="51"/>
      <c r="K12" s="52"/>
    </row>
    <row r="13" spans="1:11" ht="12.75">
      <c r="A13" s="61"/>
      <c r="B13" s="59" t="s">
        <v>463</v>
      </c>
      <c r="C13" s="51"/>
      <c r="D13" s="51"/>
      <c r="E13" s="51"/>
      <c r="F13" s="51"/>
      <c r="G13" s="51"/>
      <c r="H13" s="51"/>
      <c r="I13" s="51"/>
      <c r="J13" s="51"/>
      <c r="K13" s="52"/>
    </row>
    <row r="14" spans="1:11" ht="12.75">
      <c r="A14" s="61"/>
      <c r="B14" s="60" t="s">
        <v>465</v>
      </c>
      <c r="C14" s="51"/>
      <c r="D14" s="51"/>
      <c r="E14" s="51"/>
      <c r="F14" s="51"/>
      <c r="G14" s="51"/>
      <c r="H14" s="51"/>
      <c r="I14" s="51"/>
      <c r="J14" s="51"/>
      <c r="K14" s="52"/>
    </row>
    <row r="15" spans="1:11" ht="12.75">
      <c r="A15" s="61"/>
      <c r="B15" s="59" t="s">
        <v>466</v>
      </c>
      <c r="C15" s="51"/>
      <c r="D15" s="51"/>
      <c r="E15" s="51"/>
      <c r="F15" s="51"/>
      <c r="G15" s="51"/>
      <c r="H15" s="51"/>
      <c r="I15" s="51"/>
      <c r="J15" s="51"/>
      <c r="K15" s="52"/>
    </row>
    <row r="16" spans="1:11" ht="12.75">
      <c r="A16" s="61"/>
      <c r="B16" s="60" t="s">
        <v>403</v>
      </c>
      <c r="C16" s="51"/>
      <c r="D16" s="51"/>
      <c r="E16" s="51"/>
      <c r="F16" s="51"/>
      <c r="G16" s="51"/>
      <c r="H16" s="51"/>
      <c r="I16" s="51"/>
      <c r="J16" s="51"/>
      <c r="K16" s="52"/>
    </row>
    <row r="17" spans="1:11" ht="12.75">
      <c r="A17" s="61"/>
      <c r="B17" s="59" t="s">
        <v>46</v>
      </c>
      <c r="C17" s="51"/>
      <c r="D17" s="51"/>
      <c r="E17" s="51"/>
      <c r="F17" s="51"/>
      <c r="G17" s="51"/>
      <c r="H17" s="51"/>
      <c r="I17" s="51"/>
      <c r="J17" s="51"/>
      <c r="K17" s="52"/>
    </row>
    <row r="18" spans="1:11" ht="12.75">
      <c r="A18" s="61"/>
      <c r="B18" s="60" t="s">
        <v>404</v>
      </c>
      <c r="C18" s="51"/>
      <c r="D18" s="51"/>
      <c r="E18" s="51"/>
      <c r="F18" s="51"/>
      <c r="G18" s="51"/>
      <c r="H18" s="51"/>
      <c r="I18" s="51"/>
      <c r="J18" s="51"/>
      <c r="K18" s="52"/>
    </row>
    <row r="19" spans="1:11" ht="12.75">
      <c r="A19" s="61"/>
      <c r="B19" s="59" t="s">
        <v>405</v>
      </c>
      <c r="C19" s="51"/>
      <c r="D19" s="51"/>
      <c r="E19" s="51"/>
      <c r="F19" s="51"/>
      <c r="G19" s="51"/>
      <c r="H19" s="51"/>
      <c r="I19" s="51"/>
      <c r="J19" s="51"/>
      <c r="K19" s="52"/>
    </row>
    <row r="20" spans="1:11" ht="12.75">
      <c r="A20" s="61"/>
      <c r="B20" s="60" t="s">
        <v>35</v>
      </c>
      <c r="C20" s="51"/>
      <c r="D20" s="51"/>
      <c r="E20" s="51"/>
      <c r="F20" s="51"/>
      <c r="G20" s="51"/>
      <c r="H20" s="51"/>
      <c r="I20" s="51"/>
      <c r="J20" s="51"/>
      <c r="K20" s="52"/>
    </row>
    <row r="21" spans="1:11" ht="12.75">
      <c r="A21" s="61"/>
      <c r="B21" s="59" t="s">
        <v>36</v>
      </c>
      <c r="C21" s="51"/>
      <c r="D21" s="51"/>
      <c r="E21" s="51"/>
      <c r="F21" s="51"/>
      <c r="G21" s="51"/>
      <c r="H21" s="51"/>
      <c r="I21" s="51"/>
      <c r="J21" s="51"/>
      <c r="K21" s="52"/>
    </row>
    <row r="22" spans="1:11" ht="12.75">
      <c r="A22" s="61"/>
      <c r="B22" s="60" t="s">
        <v>562</v>
      </c>
      <c r="C22" s="51"/>
      <c r="D22" s="51"/>
      <c r="E22" s="51"/>
      <c r="F22" s="51"/>
      <c r="G22" s="51"/>
      <c r="H22" s="51"/>
      <c r="I22" s="51"/>
      <c r="J22" s="51"/>
      <c r="K22" s="52"/>
    </row>
    <row r="23" spans="1:11" ht="12.75">
      <c r="A23" s="61"/>
      <c r="B23" s="60" t="s">
        <v>406</v>
      </c>
      <c r="C23" s="51"/>
      <c r="D23" s="51"/>
      <c r="E23" s="51"/>
      <c r="F23" s="51"/>
      <c r="G23" s="51"/>
      <c r="H23" s="51"/>
      <c r="I23" s="51"/>
      <c r="J23" s="51"/>
      <c r="K23" s="52"/>
    </row>
    <row r="24" spans="1:11" ht="12.75">
      <c r="A24" s="61"/>
      <c r="B24" s="51" t="s">
        <v>47</v>
      </c>
      <c r="C24" s="51"/>
      <c r="D24" s="51"/>
      <c r="E24" s="51"/>
      <c r="F24" s="51"/>
      <c r="G24" s="51"/>
      <c r="H24" s="51"/>
      <c r="I24" s="51"/>
      <c r="J24" s="51"/>
      <c r="K24" s="52"/>
    </row>
    <row r="25" spans="1:13" ht="12.75">
      <c r="A25" s="61"/>
      <c r="B25" s="96" t="s">
        <v>410</v>
      </c>
      <c r="C25" s="60" t="s">
        <v>407</v>
      </c>
      <c r="D25" s="51"/>
      <c r="E25" s="51"/>
      <c r="F25" s="51"/>
      <c r="G25" s="51"/>
      <c r="H25" s="51"/>
      <c r="I25" s="51"/>
      <c r="J25" s="51"/>
      <c r="K25" s="52"/>
      <c r="M25" s="58"/>
    </row>
    <row r="26" spans="1:11" ht="12.75">
      <c r="A26" s="61"/>
      <c r="B26" s="67"/>
      <c r="C26" s="67" t="s">
        <v>33</v>
      </c>
      <c r="D26" s="51"/>
      <c r="E26" s="51"/>
      <c r="F26" s="51"/>
      <c r="G26" s="51"/>
      <c r="H26" s="51"/>
      <c r="I26" s="51"/>
      <c r="J26" s="51"/>
      <c r="K26" s="52"/>
    </row>
    <row r="27" spans="1:11" ht="12.75">
      <c r="A27" s="61"/>
      <c r="B27" s="67"/>
      <c r="C27" s="67" t="s">
        <v>34</v>
      </c>
      <c r="D27" s="51"/>
      <c r="E27" s="51"/>
      <c r="F27" s="51"/>
      <c r="G27" s="51"/>
      <c r="H27" s="51"/>
      <c r="I27" s="51"/>
      <c r="J27" s="51"/>
      <c r="K27" s="52"/>
    </row>
    <row r="28" spans="1:11" ht="12.75">
      <c r="A28" s="61"/>
      <c r="B28" s="83"/>
      <c r="C28" s="83" t="s">
        <v>408</v>
      </c>
      <c r="D28" s="51"/>
      <c r="E28" s="51"/>
      <c r="F28" s="51"/>
      <c r="G28" s="51"/>
      <c r="H28" s="51"/>
      <c r="I28" s="51"/>
      <c r="J28" s="51"/>
      <c r="K28" s="52"/>
    </row>
    <row r="29" spans="1:11" ht="12.75">
      <c r="A29" s="61"/>
      <c r="B29" s="67"/>
      <c r="C29" s="67" t="s">
        <v>409</v>
      </c>
      <c r="D29" s="51"/>
      <c r="E29" s="51"/>
      <c r="F29" s="51"/>
      <c r="G29" s="51"/>
      <c r="H29" s="51"/>
      <c r="I29" s="51"/>
      <c r="J29" s="51"/>
      <c r="K29" s="52"/>
    </row>
    <row r="30" spans="1:11" ht="12.75">
      <c r="A30" s="61"/>
      <c r="B30" s="67"/>
      <c r="C30" s="67" t="s">
        <v>418</v>
      </c>
      <c r="D30" s="51"/>
      <c r="E30" s="51"/>
      <c r="F30" s="51"/>
      <c r="G30" s="51"/>
      <c r="H30" s="51"/>
      <c r="I30" s="51"/>
      <c r="J30" s="51"/>
      <c r="K30" s="52"/>
    </row>
    <row r="31" spans="1:11" ht="12.75">
      <c r="A31" s="61"/>
      <c r="B31" s="96" t="s">
        <v>410</v>
      </c>
      <c r="C31" s="60" t="s">
        <v>411</v>
      </c>
      <c r="D31" s="51"/>
      <c r="E31" s="51"/>
      <c r="F31" s="51"/>
      <c r="G31" s="51"/>
      <c r="H31" s="51"/>
      <c r="I31" s="51"/>
      <c r="J31" s="51"/>
      <c r="K31" s="52"/>
    </row>
    <row r="32" spans="1:11" ht="12.75">
      <c r="A32" s="61"/>
      <c r="B32" s="67"/>
      <c r="C32" s="59" t="s">
        <v>412</v>
      </c>
      <c r="D32" s="51"/>
      <c r="E32" s="51"/>
      <c r="F32" s="51"/>
      <c r="G32" s="51"/>
      <c r="H32" s="51"/>
      <c r="I32" s="51"/>
      <c r="J32" s="51"/>
      <c r="K32" s="52"/>
    </row>
    <row r="33" spans="1:11" ht="12.75">
      <c r="A33" s="61"/>
      <c r="B33" s="83"/>
      <c r="C33" s="51" t="s">
        <v>43</v>
      </c>
      <c r="D33" s="51"/>
      <c r="E33" s="51"/>
      <c r="F33" s="51"/>
      <c r="G33" s="51"/>
      <c r="H33" s="51"/>
      <c r="I33" s="51"/>
      <c r="J33" s="51"/>
      <c r="K33" s="52"/>
    </row>
    <row r="34" spans="1:11" ht="12.75">
      <c r="A34" s="61"/>
      <c r="B34" s="96" t="s">
        <v>410</v>
      </c>
      <c r="C34" s="60" t="s">
        <v>44</v>
      </c>
      <c r="D34" s="51"/>
      <c r="E34" s="51"/>
      <c r="F34" s="51"/>
      <c r="G34" s="51"/>
      <c r="H34" s="51"/>
      <c r="I34" s="51"/>
      <c r="J34" s="51"/>
      <c r="K34" s="52"/>
    </row>
    <row r="35" spans="1:11" ht="12.75">
      <c r="A35" s="61"/>
      <c r="B35" s="59"/>
      <c r="C35" s="51" t="s">
        <v>547</v>
      </c>
      <c r="D35" s="51"/>
      <c r="E35" s="51"/>
      <c r="F35" s="51"/>
      <c r="G35" s="51"/>
      <c r="H35" s="51"/>
      <c r="I35" s="51"/>
      <c r="J35" s="51"/>
      <c r="K35" s="52"/>
    </row>
    <row r="36" spans="1:11" ht="12.75">
      <c r="A36" s="61"/>
      <c r="B36" s="51"/>
      <c r="C36" s="51" t="s">
        <v>419</v>
      </c>
      <c r="D36" s="51"/>
      <c r="E36" s="51"/>
      <c r="F36" s="51"/>
      <c r="G36" s="51"/>
      <c r="H36" s="51"/>
      <c r="I36" s="51"/>
      <c r="J36" s="51"/>
      <c r="K36" s="52"/>
    </row>
    <row r="37" spans="1:11" ht="5.25" customHeight="1">
      <c r="A37" s="61"/>
      <c r="B37" s="51"/>
      <c r="C37" s="51"/>
      <c r="D37" s="51"/>
      <c r="E37" s="51"/>
      <c r="F37" s="51"/>
      <c r="G37" s="51"/>
      <c r="H37" s="51"/>
      <c r="I37" s="51"/>
      <c r="J37" s="51"/>
      <c r="K37" s="52"/>
    </row>
    <row r="38" spans="1:11" ht="12.75">
      <c r="A38" s="61"/>
      <c r="B38" s="60" t="s">
        <v>467</v>
      </c>
      <c r="C38" s="51"/>
      <c r="D38" s="51"/>
      <c r="E38" s="51"/>
      <c r="F38" s="51"/>
      <c r="G38" s="51"/>
      <c r="H38" s="51"/>
      <c r="I38" s="51"/>
      <c r="J38" s="51"/>
      <c r="K38" s="52"/>
    </row>
    <row r="39" spans="1:11" ht="12.75">
      <c r="A39" s="61"/>
      <c r="B39" s="60" t="s">
        <v>468</v>
      </c>
      <c r="C39" s="51"/>
      <c r="D39" s="51"/>
      <c r="E39" s="51"/>
      <c r="F39" s="51"/>
      <c r="G39" s="51"/>
      <c r="H39" s="51"/>
      <c r="I39" s="51"/>
      <c r="J39" s="51"/>
      <c r="K39" s="52"/>
    </row>
    <row r="40" spans="1:11" ht="12.75">
      <c r="A40" s="61"/>
      <c r="B40" s="60" t="s">
        <v>501</v>
      </c>
      <c r="C40" s="51"/>
      <c r="D40" s="51"/>
      <c r="E40" s="51"/>
      <c r="F40" s="51"/>
      <c r="G40" s="51"/>
      <c r="H40" s="51"/>
      <c r="I40" s="51"/>
      <c r="J40" s="51"/>
      <c r="K40" s="52"/>
    </row>
    <row r="41" spans="1:11" ht="12.75">
      <c r="A41" s="61"/>
      <c r="B41" s="60" t="s">
        <v>48</v>
      </c>
      <c r="C41" s="51"/>
      <c r="D41" s="51"/>
      <c r="E41" s="51"/>
      <c r="F41" s="51"/>
      <c r="G41" s="51"/>
      <c r="H41" s="51"/>
      <c r="I41" s="51"/>
      <c r="J41" s="51"/>
      <c r="K41" s="52"/>
    </row>
    <row r="42" spans="1:13" ht="12.75">
      <c r="A42" s="61"/>
      <c r="B42" s="60" t="s">
        <v>49</v>
      </c>
      <c r="C42" s="51"/>
      <c r="D42" s="51"/>
      <c r="E42" s="51"/>
      <c r="F42" s="51"/>
      <c r="G42" s="51"/>
      <c r="H42" s="51"/>
      <c r="I42" s="51"/>
      <c r="J42" s="51"/>
      <c r="K42" s="52"/>
      <c r="M42" s="58"/>
    </row>
    <row r="43" spans="1:11" ht="4.5" customHeight="1">
      <c r="A43" s="61"/>
      <c r="B43" s="60"/>
      <c r="C43" s="51"/>
      <c r="D43" s="51"/>
      <c r="E43" s="51"/>
      <c r="F43" s="51"/>
      <c r="G43" s="51"/>
      <c r="H43" s="51"/>
      <c r="I43" s="51"/>
      <c r="J43" s="51"/>
      <c r="K43" s="52"/>
    </row>
    <row r="44" spans="1:11" ht="12.75">
      <c r="A44" s="61"/>
      <c r="B44" s="60" t="s">
        <v>50</v>
      </c>
      <c r="C44" s="51"/>
      <c r="D44" s="51"/>
      <c r="E44" s="51"/>
      <c r="F44" s="51"/>
      <c r="G44" s="51"/>
      <c r="H44" s="51"/>
      <c r="I44" s="51"/>
      <c r="J44" s="51"/>
      <c r="K44" s="52"/>
    </row>
    <row r="45" spans="1:11" ht="12.75">
      <c r="A45" s="61"/>
      <c r="B45" s="67" t="s">
        <v>51</v>
      </c>
      <c r="C45" s="51"/>
      <c r="D45" s="51"/>
      <c r="E45" s="51"/>
      <c r="F45" s="51"/>
      <c r="G45" s="51"/>
      <c r="H45" s="51"/>
      <c r="I45" s="51"/>
      <c r="J45" s="51"/>
      <c r="K45" s="52"/>
    </row>
    <row r="46" spans="1:11" ht="6" customHeight="1">
      <c r="A46" s="68"/>
      <c r="B46" s="53"/>
      <c r="C46" s="53"/>
      <c r="D46" s="53"/>
      <c r="E46" s="53"/>
      <c r="F46" s="53"/>
      <c r="G46" s="53"/>
      <c r="H46" s="53"/>
      <c r="I46" s="53"/>
      <c r="J46" s="53"/>
      <c r="K46"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29"/>
  <sheetViews>
    <sheetView showGridLines="0" workbookViewId="0" topLeftCell="A1">
      <selection activeCell="F15" sqref="F15"/>
    </sheetView>
  </sheetViews>
  <sheetFormatPr defaultColWidth="11.421875" defaultRowHeight="12.75"/>
  <cols>
    <col min="1" max="1" width="8.140625" style="2" customWidth="1"/>
    <col min="2" max="2" width="10.8515625" style="1" customWidth="1"/>
    <col min="3" max="4" width="12.28125" style="1" customWidth="1"/>
    <col min="5" max="16384" width="11.421875" style="1" customWidth="1"/>
  </cols>
  <sheetData>
    <row r="1" spans="1:12" ht="15.75">
      <c r="A1" s="29" t="s">
        <v>377</v>
      </c>
      <c r="B1" s="4"/>
      <c r="C1" s="4"/>
      <c r="D1" s="4"/>
      <c r="E1" s="4"/>
      <c r="F1" s="4"/>
      <c r="G1" s="4"/>
      <c r="H1" s="4"/>
      <c r="I1" s="4"/>
      <c r="J1" s="4"/>
      <c r="K1" s="4"/>
      <c r="L1" s="5"/>
    </row>
    <row r="2" spans="1:12" ht="12.75">
      <c r="A2" s="6"/>
      <c r="B2" s="7"/>
      <c r="C2" s="7"/>
      <c r="D2" s="7"/>
      <c r="E2" s="7"/>
      <c r="F2" s="7"/>
      <c r="G2" s="7"/>
      <c r="H2" s="7"/>
      <c r="I2" s="7"/>
      <c r="J2" s="7"/>
      <c r="K2" s="7"/>
      <c r="L2" s="8"/>
    </row>
    <row r="3" spans="1:12" ht="15.75">
      <c r="A3" s="9" t="s">
        <v>136</v>
      </c>
      <c r="B3" s="10"/>
      <c r="C3" s="7"/>
      <c r="D3" s="7"/>
      <c r="E3" s="7"/>
      <c r="F3" s="7"/>
      <c r="G3" s="7"/>
      <c r="H3" s="71"/>
      <c r="I3" s="7"/>
      <c r="J3" s="7"/>
      <c r="K3" s="7"/>
      <c r="L3" s="8"/>
    </row>
    <row r="4" spans="1:12" ht="12.75">
      <c r="A4" s="16"/>
      <c r="B4" s="7"/>
      <c r="C4" s="7"/>
      <c r="D4" s="7"/>
      <c r="E4" s="7"/>
      <c r="F4" s="69"/>
      <c r="G4" s="7"/>
      <c r="H4" s="70"/>
      <c r="I4" s="7"/>
      <c r="J4" s="7"/>
      <c r="K4" s="7"/>
      <c r="L4" s="8"/>
    </row>
    <row r="5" spans="1:12" ht="12.75">
      <c r="A5" s="76" t="s">
        <v>132</v>
      </c>
      <c r="B5" s="12" t="s">
        <v>133</v>
      </c>
      <c r="C5" s="7"/>
      <c r="D5" s="7"/>
      <c r="E5" s="7"/>
      <c r="F5" s="69"/>
      <c r="G5" s="7"/>
      <c r="H5" s="70"/>
      <c r="I5" s="7"/>
      <c r="J5" s="7"/>
      <c r="K5" s="7"/>
      <c r="L5" s="8"/>
    </row>
    <row r="6" spans="1:12" ht="12.75">
      <c r="A6" s="76"/>
      <c r="B6" s="12"/>
      <c r="C6" s="7"/>
      <c r="D6" s="7"/>
      <c r="E6" s="7"/>
      <c r="F6" s="7"/>
      <c r="G6" s="7"/>
      <c r="H6" s="70"/>
      <c r="I6" s="7"/>
      <c r="J6" s="7"/>
      <c r="K6" s="7"/>
      <c r="L6" s="8"/>
    </row>
    <row r="7" spans="1:12" ht="12.75">
      <c r="A7" s="76" t="s">
        <v>134</v>
      </c>
      <c r="B7" s="12" t="s">
        <v>135</v>
      </c>
      <c r="C7" s="7"/>
      <c r="D7" s="7"/>
      <c r="E7" s="7"/>
      <c r="F7" s="7"/>
      <c r="G7" s="7"/>
      <c r="H7" s="70"/>
      <c r="I7" s="7"/>
      <c r="J7" s="7"/>
      <c r="K7" s="7"/>
      <c r="L7" s="8"/>
    </row>
    <row r="8" spans="1:12" ht="12.75">
      <c r="A8" s="11"/>
      <c r="B8" s="7"/>
      <c r="C8" s="7"/>
      <c r="D8" s="7"/>
      <c r="E8" s="7"/>
      <c r="F8" s="7"/>
      <c r="G8" s="7"/>
      <c r="H8" s="70"/>
      <c r="I8" s="7"/>
      <c r="J8" s="7"/>
      <c r="K8" s="7"/>
      <c r="L8" s="8"/>
    </row>
    <row r="9" spans="1:12" ht="12.75">
      <c r="A9" s="11"/>
      <c r="B9" s="7"/>
      <c r="C9" s="7"/>
      <c r="D9" s="7"/>
      <c r="E9" s="7"/>
      <c r="F9" s="7"/>
      <c r="G9" s="7"/>
      <c r="H9" s="70"/>
      <c r="I9" s="7"/>
      <c r="J9" s="7"/>
      <c r="K9" s="7"/>
      <c r="L9" s="8"/>
    </row>
    <row r="10" spans="1:12" ht="12.75">
      <c r="A10" s="6" t="s">
        <v>53</v>
      </c>
      <c r="B10" s="7"/>
      <c r="C10" s="7"/>
      <c r="D10" s="7"/>
      <c r="E10" s="7"/>
      <c r="F10" s="7"/>
      <c r="G10" s="7"/>
      <c r="H10" s="71" t="s">
        <v>266</v>
      </c>
      <c r="I10" s="7"/>
      <c r="J10" s="7"/>
      <c r="K10" s="7"/>
      <c r="L10" s="8"/>
    </row>
    <row r="11" spans="1:12" ht="8.25" customHeight="1">
      <c r="A11" s="6"/>
      <c r="B11" s="7"/>
      <c r="C11" s="7"/>
      <c r="D11" s="7"/>
      <c r="E11" s="7"/>
      <c r="F11" s="7"/>
      <c r="G11" s="7"/>
      <c r="H11" s="70"/>
      <c r="I11" s="7"/>
      <c r="J11" s="7"/>
      <c r="K11" s="7"/>
      <c r="L11" s="8"/>
    </row>
    <row r="12" spans="1:12" ht="12.75">
      <c r="A12" s="76" t="s">
        <v>123</v>
      </c>
      <c r="B12" s="12" t="s">
        <v>124</v>
      </c>
      <c r="C12" s="12"/>
      <c r="D12" s="7"/>
      <c r="E12" s="7"/>
      <c r="F12" s="7"/>
      <c r="G12" s="7"/>
      <c r="H12" s="70">
        <f>Allgemeines!L5</f>
        <v>1</v>
      </c>
      <c r="I12" s="7"/>
      <c r="J12" s="7"/>
      <c r="K12" s="7"/>
      <c r="L12" s="8"/>
    </row>
    <row r="13" spans="1:12" ht="12.75">
      <c r="A13" s="76"/>
      <c r="B13" s="12"/>
      <c r="C13" s="12"/>
      <c r="D13" s="7"/>
      <c r="E13" s="7"/>
      <c r="F13" s="7"/>
      <c r="G13" s="7"/>
      <c r="H13" s="70"/>
      <c r="I13" s="7"/>
      <c r="J13" s="7"/>
      <c r="K13" s="7"/>
      <c r="L13" s="8"/>
    </row>
    <row r="14" spans="1:12" ht="12.75">
      <c r="A14" s="76" t="s">
        <v>99</v>
      </c>
      <c r="B14" s="12" t="s">
        <v>548</v>
      </c>
      <c r="C14" s="12"/>
      <c r="D14" s="7"/>
      <c r="E14" s="7"/>
      <c r="F14" s="7"/>
      <c r="G14" s="7"/>
      <c r="H14" s="70">
        <f>Restabfall!$M$5</f>
        <v>2</v>
      </c>
      <c r="I14" s="7"/>
      <c r="J14" s="7"/>
      <c r="K14" s="7"/>
      <c r="L14" s="8"/>
    </row>
    <row r="15" spans="1:12" ht="12.75">
      <c r="A15" s="76"/>
      <c r="B15" s="12"/>
      <c r="C15" s="12"/>
      <c r="D15" s="7"/>
      <c r="E15" s="7"/>
      <c r="F15" s="7"/>
      <c r="G15" s="7"/>
      <c r="H15" s="70"/>
      <c r="I15" s="7"/>
      <c r="J15" s="7"/>
      <c r="K15" s="7"/>
      <c r="L15" s="8"/>
    </row>
    <row r="16" spans="1:12" ht="12.75">
      <c r="A16" s="76" t="s">
        <v>128</v>
      </c>
      <c r="B16" s="12" t="s">
        <v>29</v>
      </c>
      <c r="C16" s="12"/>
      <c r="D16" s="7"/>
      <c r="E16" s="7"/>
      <c r="F16" s="7"/>
      <c r="G16" s="7"/>
      <c r="H16" s="70">
        <f>Sperrmüll!N5</f>
        <v>3</v>
      </c>
      <c r="I16" s="7"/>
      <c r="J16" s="7"/>
      <c r="K16" s="7"/>
      <c r="L16" s="8"/>
    </row>
    <row r="17" spans="1:12" ht="12.75">
      <c r="A17" s="76"/>
      <c r="B17" s="12" t="s">
        <v>30</v>
      </c>
      <c r="C17" s="12"/>
      <c r="D17" s="7"/>
      <c r="E17" s="7"/>
      <c r="F17" s="7"/>
      <c r="G17" s="7"/>
      <c r="H17" s="70"/>
      <c r="I17" s="7"/>
      <c r="J17" s="7"/>
      <c r="K17" s="7"/>
      <c r="L17" s="8"/>
    </row>
    <row r="18" spans="1:12" ht="12.75">
      <c r="A18" s="76"/>
      <c r="B18" s="12"/>
      <c r="C18" s="12"/>
      <c r="D18" s="7"/>
      <c r="E18" s="7"/>
      <c r="F18" s="7"/>
      <c r="G18" s="7"/>
      <c r="H18" s="70"/>
      <c r="I18" s="7"/>
      <c r="J18" s="7"/>
      <c r="K18" s="7"/>
      <c r="L18" s="8"/>
    </row>
    <row r="19" spans="1:12" ht="12.75">
      <c r="A19" s="76" t="s">
        <v>129</v>
      </c>
      <c r="B19" s="12" t="s">
        <v>196</v>
      </c>
      <c r="C19" s="12"/>
      <c r="D19" s="7"/>
      <c r="E19" s="7"/>
      <c r="F19" s="7"/>
      <c r="G19" s="7"/>
      <c r="H19" s="70">
        <f>Bioabfall!M5</f>
        <v>4</v>
      </c>
      <c r="I19" s="7"/>
      <c r="J19" s="7"/>
      <c r="K19" s="7"/>
      <c r="L19" s="8"/>
    </row>
    <row r="20" spans="1:12" ht="12.75">
      <c r="A20" s="76"/>
      <c r="B20" s="12"/>
      <c r="C20" s="12"/>
      <c r="D20" s="7"/>
      <c r="E20" s="7"/>
      <c r="F20" s="7"/>
      <c r="G20" s="7"/>
      <c r="H20" s="70"/>
      <c r="I20" s="7"/>
      <c r="J20" s="7"/>
      <c r="K20" s="7"/>
      <c r="L20" s="8"/>
    </row>
    <row r="21" spans="1:12" ht="12.75">
      <c r="A21" s="76" t="s">
        <v>130</v>
      </c>
      <c r="B21" s="12" t="s">
        <v>265</v>
      </c>
      <c r="C21" s="12"/>
      <c r="D21" s="7"/>
      <c r="E21" s="7"/>
      <c r="F21" s="7"/>
      <c r="G21" s="7"/>
      <c r="H21" s="70">
        <f>Altpapier!M5</f>
        <v>5</v>
      </c>
      <c r="I21" s="7"/>
      <c r="J21" s="7"/>
      <c r="K21" s="7"/>
      <c r="L21" s="8"/>
    </row>
    <row r="22" spans="1:12" ht="12.75">
      <c r="A22" s="76"/>
      <c r="B22" s="12"/>
      <c r="C22" s="12"/>
      <c r="D22" s="7"/>
      <c r="E22" s="7"/>
      <c r="F22" s="7"/>
      <c r="G22" s="7"/>
      <c r="H22" s="70"/>
      <c r="I22" s="7"/>
      <c r="J22" s="7"/>
      <c r="K22" s="7"/>
      <c r="L22" s="8"/>
    </row>
    <row r="23" spans="1:12" ht="12.75">
      <c r="A23" s="76" t="s">
        <v>131</v>
      </c>
      <c r="B23" s="12" t="s">
        <v>127</v>
      </c>
      <c r="C23" s="12"/>
      <c r="D23" s="7"/>
      <c r="E23" s="7"/>
      <c r="F23" s="69"/>
      <c r="G23" s="7"/>
      <c r="H23" s="70">
        <f>Altstoffsammelzentrum!M5</f>
        <v>6</v>
      </c>
      <c r="I23" s="7"/>
      <c r="J23" s="7"/>
      <c r="K23" s="7"/>
      <c r="L23" s="8"/>
    </row>
    <row r="24" spans="1:12" ht="12.75">
      <c r="A24" s="76"/>
      <c r="B24" s="12"/>
      <c r="C24" s="12"/>
      <c r="D24" s="7"/>
      <c r="E24" s="7"/>
      <c r="F24" s="69"/>
      <c r="G24" s="7"/>
      <c r="H24" s="70"/>
      <c r="I24" s="7"/>
      <c r="J24" s="7"/>
      <c r="K24" s="7"/>
      <c r="L24" s="8"/>
    </row>
    <row r="25" spans="1:12" ht="12.75">
      <c r="A25" s="76" t="s">
        <v>268</v>
      </c>
      <c r="B25" s="12" t="s">
        <v>358</v>
      </c>
      <c r="C25" s="12"/>
      <c r="D25" s="7"/>
      <c r="E25" s="7"/>
      <c r="F25" s="69"/>
      <c r="G25" s="7"/>
      <c r="H25" s="70">
        <f>Kosten_Einnahmen_Gebühren!I5</f>
        <v>8</v>
      </c>
      <c r="I25" s="7"/>
      <c r="J25" s="7"/>
      <c r="K25" s="7"/>
      <c r="L25" s="8"/>
    </row>
    <row r="26" spans="1:12" ht="12.75">
      <c r="A26" s="6"/>
      <c r="B26" s="12"/>
      <c r="C26" s="12"/>
      <c r="D26" s="7"/>
      <c r="E26" s="7"/>
      <c r="F26" s="69"/>
      <c r="G26" s="7"/>
      <c r="H26" s="70"/>
      <c r="I26" s="7"/>
      <c r="J26" s="7"/>
      <c r="K26" s="7"/>
      <c r="L26" s="8"/>
    </row>
    <row r="27" spans="1:12" ht="12.75">
      <c r="A27" s="11"/>
      <c r="B27" s="7"/>
      <c r="C27" s="7"/>
      <c r="D27" s="7"/>
      <c r="E27" s="7"/>
      <c r="F27" s="69"/>
      <c r="G27" s="7"/>
      <c r="H27" s="70"/>
      <c r="I27" s="7"/>
      <c r="J27" s="7"/>
      <c r="K27" s="7"/>
      <c r="L27" s="8"/>
    </row>
    <row r="28" spans="1:12" ht="12.75">
      <c r="A28" s="6"/>
      <c r="B28" s="7"/>
      <c r="C28" s="7"/>
      <c r="D28" s="7"/>
      <c r="E28" s="7"/>
      <c r="F28" s="69"/>
      <c r="G28" s="7"/>
      <c r="H28" s="70"/>
      <c r="I28" s="7"/>
      <c r="J28" s="7"/>
      <c r="K28" s="7"/>
      <c r="L28" s="8"/>
    </row>
    <row r="29" spans="1:12" ht="12.75">
      <c r="A29" s="18"/>
      <c r="B29" s="19"/>
      <c r="C29" s="19"/>
      <c r="D29" s="19"/>
      <c r="E29" s="19"/>
      <c r="F29" s="19"/>
      <c r="G29" s="19"/>
      <c r="H29" s="19"/>
      <c r="I29" s="19"/>
      <c r="J29" s="19"/>
      <c r="K29" s="19"/>
      <c r="L29" s="20"/>
    </row>
  </sheetData>
  <sheetProtection password="CF5B" sheet="1" objects="1" scenarios="1" selectLockedCells="1"/>
  <printOptions/>
  <pageMargins left="0.3937007874015748" right="0.3937007874015748" top="0.3937007874015748" bottom="0.1968503937007874" header="0.11811023622047245" footer="0.5118110236220472"/>
  <pageSetup fitToWidth="2"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41"/>
  <sheetViews>
    <sheetView showGridLines="0" workbookViewId="0" topLeftCell="A1">
      <selection activeCell="G7" sqref="G7"/>
    </sheetView>
  </sheetViews>
  <sheetFormatPr defaultColWidth="11.421875" defaultRowHeight="12.75"/>
  <cols>
    <col min="1" max="1" width="11.28125" style="0" customWidth="1"/>
    <col min="11" max="11" width="27.57421875" style="0" customWidth="1"/>
  </cols>
  <sheetData>
    <row r="1" spans="1:11" ht="15.75">
      <c r="A1" s="44" t="str">
        <f>Allgemeines!A1</f>
        <v>Steirischer Abfallspiegel - Datenerhebung</v>
      </c>
      <c r="B1" s="45"/>
      <c r="C1" s="45"/>
      <c r="D1" s="45"/>
      <c r="E1" s="45"/>
      <c r="F1" s="45"/>
      <c r="G1" s="45"/>
      <c r="H1" s="45"/>
      <c r="I1" s="45"/>
      <c r="J1" s="45"/>
      <c r="K1" s="46"/>
    </row>
    <row r="2" spans="1:11" ht="12.75">
      <c r="A2" s="47" t="s">
        <v>133</v>
      </c>
      <c r="B2" s="48"/>
      <c r="C2" s="48"/>
      <c r="D2" s="48"/>
      <c r="E2" s="48"/>
      <c r="F2" s="48"/>
      <c r="G2" s="48"/>
      <c r="H2" s="48"/>
      <c r="I2" s="48"/>
      <c r="J2" s="48"/>
      <c r="K2" s="49"/>
    </row>
    <row r="3" spans="1:11" ht="12.75">
      <c r="A3" s="50"/>
      <c r="B3" s="48"/>
      <c r="C3" s="48"/>
      <c r="D3" s="48"/>
      <c r="E3" s="48"/>
      <c r="F3" s="48"/>
      <c r="G3" s="48"/>
      <c r="H3" s="48"/>
      <c r="I3" s="48"/>
      <c r="J3" s="48"/>
      <c r="K3" s="49"/>
    </row>
    <row r="4" spans="1:11" ht="12.75">
      <c r="A4" s="47"/>
      <c r="B4" s="48"/>
      <c r="C4" s="48"/>
      <c r="D4" s="48"/>
      <c r="E4" s="48"/>
      <c r="F4" s="48"/>
      <c r="G4" s="48"/>
      <c r="H4" s="48"/>
      <c r="I4" s="48"/>
      <c r="J4" s="48"/>
      <c r="K4" s="49"/>
    </row>
    <row r="5" spans="1:11" ht="12.75">
      <c r="A5" s="47"/>
      <c r="B5" s="48"/>
      <c r="C5" s="48"/>
      <c r="D5" s="48"/>
      <c r="E5" s="48"/>
      <c r="F5" s="48"/>
      <c r="G5" s="48"/>
      <c r="H5" s="48"/>
      <c r="I5" s="48"/>
      <c r="J5" s="48"/>
      <c r="K5" s="49"/>
    </row>
    <row r="6" spans="1:11" ht="18">
      <c r="A6" s="109" t="s">
        <v>54</v>
      </c>
      <c r="B6" s="110"/>
      <c r="C6" s="110"/>
      <c r="D6" s="110"/>
      <c r="E6" s="110"/>
      <c r="F6" s="111"/>
      <c r="G6" s="110"/>
      <c r="H6" s="112"/>
      <c r="I6" s="112"/>
      <c r="J6" s="112"/>
      <c r="K6" s="113"/>
    </row>
    <row r="7" spans="1:11" ht="15">
      <c r="A7" s="114" t="s">
        <v>57</v>
      </c>
      <c r="B7" s="99"/>
      <c r="C7" s="100"/>
      <c r="D7" s="100"/>
      <c r="E7" s="100"/>
      <c r="F7" s="100"/>
      <c r="G7" s="101"/>
      <c r="H7" s="51"/>
      <c r="I7" s="51"/>
      <c r="J7" s="51"/>
      <c r="K7" s="52"/>
    </row>
    <row r="8" spans="1:11" ht="15">
      <c r="A8" s="115" t="s">
        <v>470</v>
      </c>
      <c r="B8" s="99"/>
      <c r="C8" s="100"/>
      <c r="D8" s="100"/>
      <c r="E8" s="100"/>
      <c r="F8" s="100"/>
      <c r="G8" s="102"/>
      <c r="H8" s="51"/>
      <c r="I8" s="51"/>
      <c r="J8" s="51"/>
      <c r="K8" s="52"/>
    </row>
    <row r="9" spans="1:11" ht="15">
      <c r="A9" s="115" t="s">
        <v>471</v>
      </c>
      <c r="B9" s="99"/>
      <c r="C9" s="100"/>
      <c r="D9" s="100"/>
      <c r="F9" s="100"/>
      <c r="G9" s="108"/>
      <c r="H9" s="51"/>
      <c r="I9" s="51"/>
      <c r="J9" s="51"/>
      <c r="K9" s="52"/>
    </row>
    <row r="10" spans="1:11" ht="15">
      <c r="A10" s="115" t="s">
        <v>70</v>
      </c>
      <c r="B10" s="99"/>
      <c r="C10" s="100"/>
      <c r="D10" s="100"/>
      <c r="E10" s="100"/>
      <c r="F10" s="100"/>
      <c r="G10" s="102"/>
      <c r="H10" s="51"/>
      <c r="I10" s="51"/>
      <c r="J10" s="51"/>
      <c r="K10" s="52"/>
    </row>
    <row r="11" spans="1:11" ht="15">
      <c r="A11" s="115"/>
      <c r="B11" s="99"/>
      <c r="C11" s="100"/>
      <c r="D11" s="100"/>
      <c r="E11" s="100"/>
      <c r="F11" s="100"/>
      <c r="G11" s="103"/>
      <c r="H11" s="51"/>
      <c r="I11" s="51"/>
      <c r="J11" s="51"/>
      <c r="K11" s="52"/>
    </row>
    <row r="12" spans="1:11" ht="6" customHeight="1">
      <c r="A12" s="115"/>
      <c r="B12" s="99"/>
      <c r="C12" s="100"/>
      <c r="D12" s="100"/>
      <c r="F12" s="100"/>
      <c r="H12" s="51"/>
      <c r="I12" s="51"/>
      <c r="J12" s="51"/>
      <c r="K12" s="52"/>
    </row>
    <row r="13" spans="1:11" ht="14.25">
      <c r="A13" s="115" t="s">
        <v>58</v>
      </c>
      <c r="B13" s="100"/>
      <c r="C13" s="100"/>
      <c r="D13" s="100"/>
      <c r="E13" s="100"/>
      <c r="F13" s="100"/>
      <c r="G13" s="102"/>
      <c r="H13" s="51"/>
      <c r="I13" s="51"/>
      <c r="J13" s="51"/>
      <c r="K13" s="52"/>
    </row>
    <row r="14" spans="1:11" ht="6.75" customHeight="1">
      <c r="A14" s="115"/>
      <c r="B14" s="100"/>
      <c r="C14" s="100"/>
      <c r="D14" s="100"/>
      <c r="E14" s="100"/>
      <c r="F14" s="100"/>
      <c r="G14" s="102"/>
      <c r="H14" s="51"/>
      <c r="I14" s="51"/>
      <c r="J14" s="51"/>
      <c r="K14" s="52"/>
    </row>
    <row r="15" spans="1:11" ht="14.25">
      <c r="A15" s="115" t="s">
        <v>59</v>
      </c>
      <c r="B15" s="100"/>
      <c r="C15" s="100"/>
      <c r="D15" s="100"/>
      <c r="E15" s="100"/>
      <c r="F15" s="100"/>
      <c r="G15" s="102"/>
      <c r="H15" s="51"/>
      <c r="I15" s="51"/>
      <c r="J15" s="51"/>
      <c r="K15" s="52"/>
    </row>
    <row r="16" spans="1:11" ht="14.25">
      <c r="A16" s="115" t="s">
        <v>61</v>
      </c>
      <c r="B16" s="100"/>
      <c r="C16" s="100"/>
      <c r="D16" s="100"/>
      <c r="E16" s="100"/>
      <c r="F16" s="100"/>
      <c r="G16" s="102"/>
      <c r="H16" s="51"/>
      <c r="I16" s="51"/>
      <c r="J16" s="51"/>
      <c r="K16" s="52"/>
    </row>
    <row r="17" spans="1:11" ht="5.25" customHeight="1">
      <c r="A17" s="115" t="s">
        <v>60</v>
      </c>
      <c r="B17" s="116"/>
      <c r="C17" s="100"/>
      <c r="D17" s="100"/>
      <c r="E17" s="100"/>
      <c r="F17" s="100"/>
      <c r="G17" s="116"/>
      <c r="H17" s="51"/>
      <c r="I17" s="51"/>
      <c r="J17" s="51"/>
      <c r="K17" s="52"/>
    </row>
    <row r="18" spans="1:11" ht="14.25">
      <c r="A18" s="115"/>
      <c r="B18" s="116"/>
      <c r="C18" s="100"/>
      <c r="E18" s="100"/>
      <c r="F18" s="100"/>
      <c r="G18" s="104"/>
      <c r="H18" s="51"/>
      <c r="I18" s="51"/>
      <c r="J18" s="51"/>
      <c r="K18" s="52"/>
    </row>
    <row r="19" spans="1:11" ht="8.25" customHeight="1">
      <c r="A19" s="115"/>
      <c r="B19" s="100"/>
      <c r="C19" s="100"/>
      <c r="D19" s="100"/>
      <c r="E19" s="100"/>
      <c r="F19" s="100"/>
      <c r="G19" s="102"/>
      <c r="H19" s="51"/>
      <c r="I19" s="51"/>
      <c r="J19" s="51"/>
      <c r="K19" s="52"/>
    </row>
    <row r="20" spans="1:11" ht="14.25">
      <c r="A20" s="114" t="s">
        <v>413</v>
      </c>
      <c r="B20" s="100"/>
      <c r="C20" s="100"/>
      <c r="D20" s="100"/>
      <c r="E20" s="100"/>
      <c r="F20" s="102"/>
      <c r="G20" s="102"/>
      <c r="H20" s="51"/>
      <c r="I20" s="51"/>
      <c r="J20" s="51"/>
      <c r="K20" s="52"/>
    </row>
    <row r="21" spans="1:11" ht="13.5">
      <c r="A21" s="115" t="s">
        <v>414</v>
      </c>
      <c r="B21" s="100"/>
      <c r="C21" s="100"/>
      <c r="D21" s="100"/>
      <c r="E21" s="100"/>
      <c r="F21" s="102"/>
      <c r="G21" s="102"/>
      <c r="H21" s="51"/>
      <c r="I21" s="51"/>
      <c r="J21" s="51"/>
      <c r="K21" s="52"/>
    </row>
    <row r="22" spans="1:11" ht="13.5">
      <c r="A22" s="115" t="s">
        <v>62</v>
      </c>
      <c r="B22" s="100"/>
      <c r="C22" s="100"/>
      <c r="D22" s="100"/>
      <c r="E22" s="100"/>
      <c r="F22" s="102"/>
      <c r="G22" s="102"/>
      <c r="H22" s="51"/>
      <c r="I22" s="51"/>
      <c r="J22" s="51"/>
      <c r="K22" s="52"/>
    </row>
    <row r="23" spans="1:11" ht="13.5">
      <c r="A23" s="115" t="s">
        <v>63</v>
      </c>
      <c r="B23" s="100"/>
      <c r="C23" s="100"/>
      <c r="D23" s="100"/>
      <c r="E23" s="100"/>
      <c r="F23" s="102"/>
      <c r="G23" s="102"/>
      <c r="H23" s="51"/>
      <c r="I23" s="51"/>
      <c r="J23" s="51"/>
      <c r="K23" s="52"/>
    </row>
    <row r="24" spans="1:11" ht="5.25" customHeight="1">
      <c r="A24" s="115" t="s">
        <v>60</v>
      </c>
      <c r="B24" s="116"/>
      <c r="C24" s="100"/>
      <c r="D24" s="100"/>
      <c r="E24" s="100"/>
      <c r="F24" s="100"/>
      <c r="G24" s="116"/>
      <c r="H24" s="51"/>
      <c r="I24" s="51"/>
      <c r="J24" s="51"/>
      <c r="K24" s="52"/>
    </row>
    <row r="25" spans="1:11" ht="13.5">
      <c r="A25" s="115"/>
      <c r="B25" s="100"/>
      <c r="C25" s="100"/>
      <c r="E25" s="100"/>
      <c r="F25" s="100"/>
      <c r="G25" s="144"/>
      <c r="H25" s="116"/>
      <c r="I25" s="51"/>
      <c r="J25" s="51"/>
      <c r="K25" s="52"/>
    </row>
    <row r="26" spans="1:11" ht="5.25" customHeight="1">
      <c r="A26" s="115" t="s">
        <v>60</v>
      </c>
      <c r="B26" s="116"/>
      <c r="C26" s="100"/>
      <c r="D26" s="100"/>
      <c r="E26" s="100"/>
      <c r="F26" s="100"/>
      <c r="G26" s="116"/>
      <c r="H26" s="51"/>
      <c r="I26" s="51"/>
      <c r="J26" s="51"/>
      <c r="K26" s="52"/>
    </row>
    <row r="27" spans="1:11" ht="13.5">
      <c r="A27" s="114" t="s">
        <v>434</v>
      </c>
      <c r="B27" s="100"/>
      <c r="C27" s="100"/>
      <c r="D27" s="100"/>
      <c r="E27" s="100"/>
      <c r="F27" s="105"/>
      <c r="G27" s="100"/>
      <c r="H27" s="51"/>
      <c r="I27" s="51"/>
      <c r="J27" s="51"/>
      <c r="K27" s="52"/>
    </row>
    <row r="28" spans="1:11" ht="13.5">
      <c r="A28" s="115" t="s">
        <v>64</v>
      </c>
      <c r="B28" s="100"/>
      <c r="C28" s="100"/>
      <c r="D28" s="100"/>
      <c r="E28" s="100"/>
      <c r="F28" s="100"/>
      <c r="G28" s="106"/>
      <c r="H28" s="51"/>
      <c r="I28" s="51"/>
      <c r="J28" s="51"/>
      <c r="K28" s="52"/>
    </row>
    <row r="29" spans="1:13" ht="13.5">
      <c r="A29" s="115" t="s">
        <v>65</v>
      </c>
      <c r="B29" s="100"/>
      <c r="C29" s="100"/>
      <c r="D29" s="100"/>
      <c r="E29" s="100"/>
      <c r="F29" s="106"/>
      <c r="G29" s="100"/>
      <c r="H29" s="51"/>
      <c r="I29" s="51"/>
      <c r="J29" s="51"/>
      <c r="K29" s="52"/>
      <c r="M29" s="58"/>
    </row>
    <row r="30" spans="1:11" ht="15">
      <c r="A30" s="117"/>
      <c r="B30" s="99"/>
      <c r="C30" s="100" t="s">
        <v>55</v>
      </c>
      <c r="D30" s="100"/>
      <c r="E30" s="100"/>
      <c r="F30" s="100"/>
      <c r="G30" s="101"/>
      <c r="H30" s="51"/>
      <c r="I30" s="51"/>
      <c r="J30" s="51"/>
      <c r="K30" s="52"/>
    </row>
    <row r="31" spans="1:11" ht="14.25">
      <c r="A31" s="115" t="s">
        <v>66</v>
      </c>
      <c r="B31" s="100"/>
      <c r="C31" s="100"/>
      <c r="D31" s="100"/>
      <c r="E31" s="100"/>
      <c r="F31" s="100"/>
      <c r="G31" s="106"/>
      <c r="H31" s="51"/>
      <c r="I31" s="51"/>
      <c r="J31" s="51"/>
      <c r="K31" s="52"/>
    </row>
    <row r="32" spans="1:11" ht="15">
      <c r="A32" s="117"/>
      <c r="B32" s="99"/>
      <c r="C32" s="100"/>
      <c r="D32" s="100"/>
      <c r="E32" s="100"/>
      <c r="F32" s="100"/>
      <c r="G32" s="101"/>
      <c r="H32" s="51"/>
      <c r="I32" s="51"/>
      <c r="J32" s="51"/>
      <c r="K32" s="52"/>
    </row>
    <row r="33" spans="1:11" ht="13.5">
      <c r="A33" s="114" t="s">
        <v>67</v>
      </c>
      <c r="B33" s="107"/>
      <c r="C33" s="100"/>
      <c r="D33" s="100"/>
      <c r="E33" s="100"/>
      <c r="F33" s="100"/>
      <c r="G33" s="105"/>
      <c r="H33" s="51"/>
      <c r="I33" s="51"/>
      <c r="J33" s="51"/>
      <c r="K33" s="52"/>
    </row>
    <row r="34" spans="1:11" ht="13.5">
      <c r="A34" s="115" t="s">
        <v>435</v>
      </c>
      <c r="B34" s="107"/>
      <c r="C34" s="100"/>
      <c r="D34" s="100"/>
      <c r="E34" s="100"/>
      <c r="F34" s="100"/>
      <c r="G34" s="105"/>
      <c r="H34" s="51"/>
      <c r="I34" s="51"/>
      <c r="J34" s="51"/>
      <c r="K34" s="52"/>
    </row>
    <row r="35" spans="1:11" ht="13.5">
      <c r="A35" s="115" t="s">
        <v>56</v>
      </c>
      <c r="B35" s="107"/>
      <c r="C35" s="100"/>
      <c r="D35" s="100"/>
      <c r="E35" s="100"/>
      <c r="F35" s="100"/>
      <c r="G35" s="105"/>
      <c r="H35" s="51"/>
      <c r="I35" s="51"/>
      <c r="J35" s="51"/>
      <c r="K35" s="52"/>
    </row>
    <row r="36" spans="1:11" ht="13.5">
      <c r="A36" s="115"/>
      <c r="B36" s="107"/>
      <c r="C36" s="100"/>
      <c r="D36" s="100"/>
      <c r="E36" s="100"/>
      <c r="F36" s="100"/>
      <c r="G36" s="105"/>
      <c r="H36" s="51"/>
      <c r="I36" s="51"/>
      <c r="J36" s="51"/>
      <c r="K36" s="52"/>
    </row>
    <row r="37" spans="1:11" ht="13.5">
      <c r="A37" s="114" t="s">
        <v>493</v>
      </c>
      <c r="B37" s="107"/>
      <c r="C37" s="100"/>
      <c r="D37" s="100"/>
      <c r="E37" s="100"/>
      <c r="F37" s="100"/>
      <c r="G37" s="105"/>
      <c r="H37" s="51"/>
      <c r="I37" s="51"/>
      <c r="J37" s="51"/>
      <c r="K37" s="52"/>
    </row>
    <row r="38" spans="1:11" ht="13.5">
      <c r="A38" s="115" t="s">
        <v>68</v>
      </c>
      <c r="B38" s="107"/>
      <c r="C38" s="100"/>
      <c r="D38" s="100"/>
      <c r="E38" s="100"/>
      <c r="F38" s="100"/>
      <c r="G38" s="105"/>
      <c r="H38" s="51"/>
      <c r="I38" s="51"/>
      <c r="J38" s="51"/>
      <c r="K38" s="52"/>
    </row>
    <row r="39" spans="1:11" ht="13.5">
      <c r="A39" s="115" t="s">
        <v>69</v>
      </c>
      <c r="B39" s="107"/>
      <c r="C39" s="100"/>
      <c r="D39" s="100"/>
      <c r="E39" s="100"/>
      <c r="F39" s="100"/>
      <c r="G39" s="105"/>
      <c r="H39" s="51"/>
      <c r="I39" s="51"/>
      <c r="J39" s="51"/>
      <c r="K39" s="52"/>
    </row>
    <row r="40" spans="1:11" ht="12.75">
      <c r="A40" s="97"/>
      <c r="B40" s="51"/>
      <c r="C40" s="51"/>
      <c r="D40" s="51"/>
      <c r="E40" s="51"/>
      <c r="F40" s="51"/>
      <c r="G40" s="51"/>
      <c r="H40" s="51"/>
      <c r="I40" s="51"/>
      <c r="J40" s="51"/>
      <c r="K40" s="52"/>
    </row>
    <row r="41" spans="1:11" ht="4.5" customHeight="1">
      <c r="A41" s="98"/>
      <c r="B41" s="53"/>
      <c r="C41" s="53"/>
      <c r="D41" s="53"/>
      <c r="E41" s="53"/>
      <c r="F41" s="53"/>
      <c r="G41" s="53"/>
      <c r="H41" s="53"/>
      <c r="I41" s="53"/>
      <c r="J41" s="53"/>
      <c r="K41" s="54"/>
    </row>
  </sheetData>
  <sheetProtection password="CF5B" sheet="1" objects="1" scenarios="1" selectLockedCells="1"/>
  <printOptions/>
  <pageMargins left="0.3937007874015748" right="0.3937007874015748" top="0.3937007874015748" bottom="0.1968503937007874" header="0.11811023622047245" footer="0.1181102362204724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AG41"/>
  <sheetViews>
    <sheetView showGridLines="0" workbookViewId="0" topLeftCell="A4">
      <selection activeCell="F5" sqref="F5:I5"/>
    </sheetView>
  </sheetViews>
  <sheetFormatPr defaultColWidth="11.421875" defaultRowHeight="12.75"/>
  <cols>
    <col min="1" max="1" width="8.140625" style="2" customWidth="1"/>
    <col min="2" max="2" width="10.8515625" style="1" customWidth="1"/>
    <col min="3" max="4" width="12.28125" style="1" customWidth="1"/>
    <col min="5" max="12" width="11.421875" style="1" customWidth="1"/>
    <col min="13" max="13" width="4.00390625" style="1" customWidth="1"/>
    <col min="14" max="14" width="23.28125" style="1" customWidth="1"/>
    <col min="15" max="18" width="11.421875" style="1" customWidth="1"/>
    <col min="19" max="19" width="11.421875" style="3" customWidth="1"/>
    <col min="20" max="26" width="11.421875" style="1" customWidth="1"/>
    <col min="27" max="27" width="11.421875" style="1" hidden="1" customWidth="1"/>
    <col min="28" max="31" width="51.28125" style="1" hidden="1" customWidth="1"/>
    <col min="32" max="32" width="11.421875" style="1" hidden="1" customWidth="1"/>
    <col min="33" max="16384" width="11.421875" style="1" customWidth="1"/>
  </cols>
  <sheetData>
    <row r="1" spans="1:32" ht="15.75">
      <c r="A1" s="29" t="s">
        <v>377</v>
      </c>
      <c r="B1" s="4"/>
      <c r="C1" s="4"/>
      <c r="D1" s="4"/>
      <c r="E1" s="4"/>
      <c r="F1" s="4"/>
      <c r="G1" s="4"/>
      <c r="H1" s="4"/>
      <c r="I1" s="4"/>
      <c r="J1" s="4"/>
      <c r="K1" s="4"/>
      <c r="L1" s="5"/>
      <c r="M1" s="118" t="s">
        <v>378</v>
      </c>
      <c r="N1" s="119"/>
      <c r="O1" s="119"/>
      <c r="P1" s="119"/>
      <c r="Q1" s="119"/>
      <c r="R1" s="119"/>
      <c r="S1" s="145"/>
      <c r="T1" s="119"/>
      <c r="U1" s="119"/>
      <c r="V1" s="119"/>
      <c r="W1" s="119"/>
      <c r="X1" s="122"/>
      <c r="AA1" s="43"/>
      <c r="AF1" s="43"/>
    </row>
    <row r="2" spans="1:32" ht="12.75">
      <c r="A2" s="6"/>
      <c r="B2" s="7"/>
      <c r="C2" s="7"/>
      <c r="D2" s="7"/>
      <c r="E2" s="7"/>
      <c r="F2" s="7"/>
      <c r="G2" s="7"/>
      <c r="H2" s="7"/>
      <c r="I2" s="7"/>
      <c r="J2" s="7"/>
      <c r="K2" s="7"/>
      <c r="L2" s="8"/>
      <c r="M2" s="123"/>
      <c r="N2" s="124"/>
      <c r="O2" s="124"/>
      <c r="P2" s="124"/>
      <c r="Q2" s="124"/>
      <c r="R2" s="124"/>
      <c r="S2" s="134"/>
      <c r="T2" s="124"/>
      <c r="U2" s="124"/>
      <c r="V2" s="124"/>
      <c r="W2" s="124"/>
      <c r="X2" s="127"/>
      <c r="AA2" s="43"/>
      <c r="AF2" s="43"/>
    </row>
    <row r="3" spans="1:32" ht="15.75">
      <c r="A3" s="9" t="s">
        <v>80</v>
      </c>
      <c r="B3" s="10"/>
      <c r="C3" s="7"/>
      <c r="D3" s="7"/>
      <c r="E3" s="7"/>
      <c r="F3" s="7"/>
      <c r="G3" s="7"/>
      <c r="H3" s="7"/>
      <c r="I3" s="7"/>
      <c r="J3" s="7"/>
      <c r="K3" s="7"/>
      <c r="L3" s="8"/>
      <c r="M3" s="123"/>
      <c r="N3" s="124"/>
      <c r="O3" s="124"/>
      <c r="P3" s="124"/>
      <c r="Q3" s="128"/>
      <c r="R3" s="128"/>
      <c r="S3" s="125"/>
      <c r="T3" s="128"/>
      <c r="U3" s="124"/>
      <c r="V3" s="124"/>
      <c r="W3" s="124"/>
      <c r="X3" s="127"/>
      <c r="AA3" s="43"/>
      <c r="AF3" s="43"/>
    </row>
    <row r="4" spans="1:32" ht="12.75">
      <c r="A4" s="11"/>
      <c r="B4" s="7"/>
      <c r="C4" s="7"/>
      <c r="D4" s="7"/>
      <c r="E4" s="7"/>
      <c r="F4" s="7"/>
      <c r="G4" s="7"/>
      <c r="H4" s="7"/>
      <c r="I4" s="7"/>
      <c r="J4" s="7"/>
      <c r="K4" s="7"/>
      <c r="L4" s="8"/>
      <c r="M4" s="123"/>
      <c r="N4" s="124"/>
      <c r="O4" s="124"/>
      <c r="P4" s="124"/>
      <c r="Q4" s="128"/>
      <c r="R4" s="128"/>
      <c r="S4" s="125"/>
      <c r="T4" s="128"/>
      <c r="U4" s="124"/>
      <c r="V4" s="124"/>
      <c r="W4" s="124"/>
      <c r="X4" s="127"/>
      <c r="AA4" s="43"/>
      <c r="AF4" s="43"/>
    </row>
    <row r="5" spans="1:33" ht="12.75">
      <c r="A5" s="6" t="s">
        <v>81</v>
      </c>
      <c r="B5" s="12" t="s">
        <v>79</v>
      </c>
      <c r="C5" s="7"/>
      <c r="D5" s="7"/>
      <c r="E5" s="7"/>
      <c r="F5" s="241"/>
      <c r="G5" s="242"/>
      <c r="H5" s="242"/>
      <c r="I5" s="243"/>
      <c r="J5" s="7"/>
      <c r="K5" s="7"/>
      <c r="L5" s="72">
        <v>1</v>
      </c>
      <c r="M5" s="123"/>
      <c r="N5" s="134" t="s">
        <v>98</v>
      </c>
      <c r="O5" s="124"/>
      <c r="P5" s="124"/>
      <c r="Q5" s="146">
        <f>IF(OR(F10="",Q10=""),"",Q10/F10)</f>
      </c>
      <c r="R5" s="128" t="s">
        <v>225</v>
      </c>
      <c r="S5" s="125"/>
      <c r="T5" s="128"/>
      <c r="U5" s="124"/>
      <c r="V5" s="124"/>
      <c r="W5" s="124"/>
      <c r="X5" s="127"/>
      <c r="Z5" s="43"/>
      <c r="AA5" s="43"/>
      <c r="AF5" s="43"/>
      <c r="AG5" s="43"/>
    </row>
    <row r="6" spans="1:32" ht="12.75">
      <c r="A6" s="16" t="s">
        <v>169</v>
      </c>
      <c r="B6" s="13" t="s">
        <v>494</v>
      </c>
      <c r="C6" s="13"/>
      <c r="D6" s="7"/>
      <c r="E6" s="7"/>
      <c r="F6" s="241"/>
      <c r="G6" s="242"/>
      <c r="H6" s="242"/>
      <c r="I6" s="243"/>
      <c r="J6" s="7"/>
      <c r="K6" s="7"/>
      <c r="L6" s="8"/>
      <c r="M6" s="123"/>
      <c r="N6" s="124"/>
      <c r="O6" s="124"/>
      <c r="P6" s="124"/>
      <c r="Q6" s="125"/>
      <c r="R6" s="128"/>
      <c r="S6" s="125"/>
      <c r="T6" s="128"/>
      <c r="U6" s="124"/>
      <c r="V6" s="124"/>
      <c r="W6" s="124"/>
      <c r="X6" s="127"/>
      <c r="AA6" s="43"/>
      <c r="AF6" s="43"/>
    </row>
    <row r="7" spans="1:32" ht="12.75">
      <c r="A7" s="16" t="s">
        <v>172</v>
      </c>
      <c r="B7" s="13" t="s">
        <v>170</v>
      </c>
      <c r="C7" s="13"/>
      <c r="D7" s="7"/>
      <c r="E7" s="7"/>
      <c r="F7" s="241"/>
      <c r="G7" s="242"/>
      <c r="H7" s="242"/>
      <c r="I7" s="243"/>
      <c r="J7" s="7"/>
      <c r="K7" s="7"/>
      <c r="L7" s="8"/>
      <c r="M7" s="123"/>
      <c r="N7" s="124"/>
      <c r="O7" s="124"/>
      <c r="P7" s="124"/>
      <c r="Q7" s="125"/>
      <c r="R7" s="128"/>
      <c r="S7" s="125"/>
      <c r="T7" s="128"/>
      <c r="U7" s="124"/>
      <c r="V7" s="124"/>
      <c r="W7" s="124"/>
      <c r="X7" s="127"/>
      <c r="AA7" s="43"/>
      <c r="AF7" s="43"/>
    </row>
    <row r="8" spans="1:32" ht="12.75">
      <c r="A8" s="16" t="s">
        <v>173</v>
      </c>
      <c r="B8" s="13" t="s">
        <v>171</v>
      </c>
      <c r="C8" s="13"/>
      <c r="D8" s="7"/>
      <c r="E8" s="7"/>
      <c r="F8" s="244"/>
      <c r="G8" s="242"/>
      <c r="H8" s="242"/>
      <c r="I8" s="243"/>
      <c r="J8" s="7"/>
      <c r="K8" s="7"/>
      <c r="L8" s="8"/>
      <c r="M8" s="123"/>
      <c r="N8" s="124"/>
      <c r="O8" s="124"/>
      <c r="P8" s="124"/>
      <c r="Q8" s="125"/>
      <c r="R8" s="128"/>
      <c r="S8" s="125"/>
      <c r="T8" s="128"/>
      <c r="U8" s="124"/>
      <c r="V8" s="124"/>
      <c r="W8" s="124"/>
      <c r="X8" s="127"/>
      <c r="AA8" s="43"/>
      <c r="AF8" s="43"/>
    </row>
    <row r="9" spans="1:32" ht="12.75">
      <c r="A9" s="6"/>
      <c r="B9" s="12"/>
      <c r="C9" s="7"/>
      <c r="D9" s="7"/>
      <c r="E9" s="7"/>
      <c r="F9" s="7"/>
      <c r="G9" s="7"/>
      <c r="H9" s="7"/>
      <c r="I9" s="7"/>
      <c r="J9" s="7"/>
      <c r="K9" s="7"/>
      <c r="L9" s="8"/>
      <c r="M9" s="123"/>
      <c r="N9" s="124"/>
      <c r="O9" s="124"/>
      <c r="P9" s="124"/>
      <c r="Q9" s="125"/>
      <c r="R9" s="128"/>
      <c r="S9" s="125"/>
      <c r="T9" s="128"/>
      <c r="U9" s="124"/>
      <c r="V9" s="124"/>
      <c r="W9" s="124"/>
      <c r="X9" s="127"/>
      <c r="AA9" s="43"/>
      <c r="AF9" s="43"/>
    </row>
    <row r="10" spans="1:32" ht="12.75">
      <c r="A10" s="6" t="s">
        <v>82</v>
      </c>
      <c r="B10" s="12" t="s">
        <v>92</v>
      </c>
      <c r="C10" s="7"/>
      <c r="D10" s="7"/>
      <c r="E10" s="7"/>
      <c r="F10" s="73"/>
      <c r="G10" s="13" t="s">
        <v>91</v>
      </c>
      <c r="H10" s="7"/>
      <c r="I10" s="7"/>
      <c r="J10" s="7"/>
      <c r="K10" s="7"/>
      <c r="L10" s="8"/>
      <c r="M10" s="123"/>
      <c r="N10" s="134" t="s">
        <v>191</v>
      </c>
      <c r="O10" s="124"/>
      <c r="P10" s="124"/>
      <c r="Q10" s="147">
        <f>IF(OR(SUM(F16:F17)=0,H17=""),"",(F16+(F17*(H17/100)+(F18/365))))</f>
      </c>
      <c r="R10" s="128" t="s">
        <v>226</v>
      </c>
      <c r="S10" s="125"/>
      <c r="T10" s="128"/>
      <c r="U10" s="124"/>
      <c r="V10" s="124"/>
      <c r="W10" s="124"/>
      <c r="X10" s="127"/>
      <c r="AA10" s="43"/>
      <c r="AF10" s="43"/>
    </row>
    <row r="11" spans="1:32" ht="12.75">
      <c r="A11" s="11"/>
      <c r="B11" s="7"/>
      <c r="C11" s="7"/>
      <c r="D11" s="7"/>
      <c r="E11" s="7"/>
      <c r="F11" s="7"/>
      <c r="G11" s="7"/>
      <c r="H11" s="7"/>
      <c r="I11" s="7"/>
      <c r="J11" s="7"/>
      <c r="K11" s="7"/>
      <c r="L11" s="8"/>
      <c r="M11" s="123"/>
      <c r="N11" s="124"/>
      <c r="O11" s="124"/>
      <c r="P11" s="124"/>
      <c r="Q11" s="125"/>
      <c r="R11" s="128"/>
      <c r="S11" s="125"/>
      <c r="T11" s="128"/>
      <c r="U11" s="124"/>
      <c r="V11" s="124"/>
      <c r="W11" s="124"/>
      <c r="X11" s="127"/>
      <c r="AA11" s="43"/>
      <c r="AF11" s="43"/>
    </row>
    <row r="12" spans="1:32" ht="12.75">
      <c r="A12" s="6" t="s">
        <v>84</v>
      </c>
      <c r="B12" s="12" t="s">
        <v>83</v>
      </c>
      <c r="C12" s="7"/>
      <c r="D12" s="7"/>
      <c r="E12" s="7"/>
      <c r="F12" s="168">
        <v>2008</v>
      </c>
      <c r="G12" s="15" t="s">
        <v>483</v>
      </c>
      <c r="H12" s="7"/>
      <c r="I12" s="7"/>
      <c r="J12" s="7"/>
      <c r="K12" s="7"/>
      <c r="L12" s="8"/>
      <c r="M12" s="123"/>
      <c r="N12" s="134" t="s">
        <v>269</v>
      </c>
      <c r="O12" s="124"/>
      <c r="P12" s="124"/>
      <c r="Q12" s="147">
        <f>IF(OR(SUM(F21:F22)=0,H22=""),"",(F21+(F22*(H22/100)+(F23/365))))</f>
      </c>
      <c r="R12" s="128" t="s">
        <v>226</v>
      </c>
      <c r="S12" s="136">
        <f>S14</f>
      </c>
      <c r="T12" s="128"/>
      <c r="U12" s="124"/>
      <c r="V12" s="124"/>
      <c r="W12" s="124"/>
      <c r="X12" s="127"/>
      <c r="AA12" s="43"/>
      <c r="AB12" s="42" t="s">
        <v>78</v>
      </c>
      <c r="AF12" s="43"/>
    </row>
    <row r="13" spans="1:32" ht="12.75">
      <c r="A13" s="11"/>
      <c r="B13" s="7"/>
      <c r="C13" s="7"/>
      <c r="D13" s="7"/>
      <c r="E13" s="7"/>
      <c r="F13" s="7"/>
      <c r="G13" s="7"/>
      <c r="H13" s="7"/>
      <c r="I13" s="7"/>
      <c r="J13" s="7"/>
      <c r="K13" s="7"/>
      <c r="L13" s="8"/>
      <c r="M13" s="123"/>
      <c r="N13" s="124"/>
      <c r="O13" s="124"/>
      <c r="P13" s="124"/>
      <c r="Q13" s="125"/>
      <c r="R13" s="128"/>
      <c r="S13" s="125"/>
      <c r="T13" s="128"/>
      <c r="U13" s="124"/>
      <c r="V13" s="124"/>
      <c r="W13" s="124"/>
      <c r="X13" s="127"/>
      <c r="AA13" s="43"/>
      <c r="AB13" s="42">
        <v>2005</v>
      </c>
      <c r="AF13" s="43"/>
    </row>
    <row r="14" spans="1:32" ht="12.75">
      <c r="A14" s="6" t="s">
        <v>90</v>
      </c>
      <c r="B14" s="12" t="s">
        <v>174</v>
      </c>
      <c r="C14" s="7"/>
      <c r="D14" s="7"/>
      <c r="E14" s="7"/>
      <c r="F14" s="7"/>
      <c r="G14" s="7"/>
      <c r="H14" s="7"/>
      <c r="I14" s="7"/>
      <c r="J14" s="7"/>
      <c r="K14" s="7"/>
      <c r="L14" s="8"/>
      <c r="M14" s="123"/>
      <c r="N14" s="134" t="s">
        <v>96</v>
      </c>
      <c r="O14" s="124"/>
      <c r="P14" s="124"/>
      <c r="Q14" s="135">
        <f>IF(OR(Q12="",Q10=""),"",Q12/Q10*100)</f>
      </c>
      <c r="R14" s="128" t="s">
        <v>97</v>
      </c>
      <c r="S14" s="136">
        <f>IF(Q14="","",IF(Q14&gt;100,"=&gt; Wert unplausibel, bitte Angaben unter 1.3.3 prüfen!",""))</f>
      </c>
      <c r="T14" s="128"/>
      <c r="U14" s="124"/>
      <c r="V14" s="124"/>
      <c r="W14" s="124"/>
      <c r="X14" s="127"/>
      <c r="AA14" s="43"/>
      <c r="AB14" s="42">
        <v>2006</v>
      </c>
      <c r="AF14" s="43"/>
    </row>
    <row r="15" spans="1:32" ht="12.75">
      <c r="A15" s="16" t="s">
        <v>472</v>
      </c>
      <c r="B15" s="13" t="s">
        <v>95</v>
      </c>
      <c r="C15" s="7"/>
      <c r="D15" s="7"/>
      <c r="E15" s="7"/>
      <c r="F15" s="7"/>
      <c r="G15" s="7"/>
      <c r="H15" s="7"/>
      <c r="I15" s="7"/>
      <c r="J15" s="7"/>
      <c r="K15" s="7"/>
      <c r="L15" s="8"/>
      <c r="M15" s="123"/>
      <c r="N15" s="124"/>
      <c r="O15" s="124"/>
      <c r="P15" s="124"/>
      <c r="Q15" s="128"/>
      <c r="R15" s="128"/>
      <c r="S15" s="125"/>
      <c r="T15" s="128"/>
      <c r="U15" s="124"/>
      <c r="V15" s="124"/>
      <c r="W15" s="124"/>
      <c r="X15" s="127"/>
      <c r="AA15" s="43"/>
      <c r="AB15" s="42">
        <v>2007</v>
      </c>
      <c r="AF15" s="43"/>
    </row>
    <row r="16" spans="1:32" ht="12.75">
      <c r="A16" s="11" t="s">
        <v>473</v>
      </c>
      <c r="B16" s="7" t="s">
        <v>93</v>
      </c>
      <c r="C16" s="7"/>
      <c r="D16" s="7"/>
      <c r="E16" s="7"/>
      <c r="F16" s="74"/>
      <c r="G16" s="7" t="s">
        <v>88</v>
      </c>
      <c r="H16" s="7"/>
      <c r="I16" s="7"/>
      <c r="J16" s="7"/>
      <c r="K16" s="7"/>
      <c r="L16" s="8"/>
      <c r="M16" s="123"/>
      <c r="N16" s="124"/>
      <c r="O16" s="124"/>
      <c r="P16" s="124"/>
      <c r="Q16" s="128"/>
      <c r="R16" s="128"/>
      <c r="S16" s="125"/>
      <c r="T16" s="128"/>
      <c r="U16" s="124"/>
      <c r="V16" s="124"/>
      <c r="W16" s="124"/>
      <c r="X16" s="127"/>
      <c r="AA16" s="43"/>
      <c r="AF16" s="43"/>
    </row>
    <row r="17" spans="1:32" ht="12.75">
      <c r="A17" s="11" t="s">
        <v>474</v>
      </c>
      <c r="B17" s="7" t="s">
        <v>87</v>
      </c>
      <c r="C17" s="7"/>
      <c r="D17" s="7"/>
      <c r="E17" s="7"/>
      <c r="F17" s="74"/>
      <c r="G17" s="7" t="s">
        <v>88</v>
      </c>
      <c r="H17" s="74"/>
      <c r="I17" s="7" t="s">
        <v>154</v>
      </c>
      <c r="J17" s="7"/>
      <c r="K17" s="7"/>
      <c r="L17" s="8"/>
      <c r="M17" s="123"/>
      <c r="N17" s="124"/>
      <c r="O17" s="124"/>
      <c r="P17" s="124"/>
      <c r="Q17" s="128"/>
      <c r="R17" s="128"/>
      <c r="S17" s="125"/>
      <c r="T17" s="128"/>
      <c r="U17" s="124"/>
      <c r="V17" s="124"/>
      <c r="W17" s="124"/>
      <c r="X17" s="127"/>
      <c r="AA17" s="43"/>
      <c r="AF17" s="43"/>
    </row>
    <row r="18" spans="1:32" ht="12.75">
      <c r="A18" s="11" t="s">
        <v>475</v>
      </c>
      <c r="B18" s="7" t="s">
        <v>175</v>
      </c>
      <c r="C18" s="7"/>
      <c r="D18" s="7"/>
      <c r="E18" s="7"/>
      <c r="F18" s="74"/>
      <c r="G18" s="7" t="s">
        <v>89</v>
      </c>
      <c r="H18" s="7"/>
      <c r="I18" s="7"/>
      <c r="J18" s="7"/>
      <c r="K18" s="7"/>
      <c r="L18" s="8"/>
      <c r="M18" s="123"/>
      <c r="N18" s="124"/>
      <c r="O18" s="124"/>
      <c r="P18" s="124"/>
      <c r="Q18" s="124"/>
      <c r="R18" s="124"/>
      <c r="S18" s="134"/>
      <c r="T18" s="124"/>
      <c r="U18" s="124"/>
      <c r="V18" s="124"/>
      <c r="W18" s="124"/>
      <c r="X18" s="127"/>
      <c r="AA18" s="43"/>
      <c r="AF18" s="43"/>
    </row>
    <row r="19" spans="1:32" ht="12.75">
      <c r="A19" s="11"/>
      <c r="B19" s="7"/>
      <c r="C19" s="7"/>
      <c r="D19" s="7"/>
      <c r="E19" s="7"/>
      <c r="F19" s="7"/>
      <c r="G19" s="7"/>
      <c r="H19" s="7"/>
      <c r="I19" s="7"/>
      <c r="J19" s="7"/>
      <c r="K19" s="7"/>
      <c r="L19" s="8"/>
      <c r="M19" s="123"/>
      <c r="N19" s="124"/>
      <c r="O19" s="124"/>
      <c r="P19" s="124"/>
      <c r="Q19" s="124"/>
      <c r="R19" s="124"/>
      <c r="S19" s="134"/>
      <c r="T19" s="124"/>
      <c r="U19" s="124"/>
      <c r="V19" s="124"/>
      <c r="W19" s="124"/>
      <c r="X19" s="127"/>
      <c r="AA19" s="43"/>
      <c r="AF19" s="43"/>
    </row>
    <row r="20" spans="1:32" ht="12.75">
      <c r="A20" s="16" t="s">
        <v>476</v>
      </c>
      <c r="B20" s="13" t="s">
        <v>94</v>
      </c>
      <c r="C20" s="7"/>
      <c r="D20" s="7"/>
      <c r="E20" s="7"/>
      <c r="F20" s="7"/>
      <c r="G20" s="7"/>
      <c r="H20" s="7"/>
      <c r="I20" s="7"/>
      <c r="J20" s="7"/>
      <c r="K20" s="7"/>
      <c r="L20" s="8"/>
      <c r="M20" s="123"/>
      <c r="N20" s="124"/>
      <c r="O20" s="124"/>
      <c r="P20" s="124"/>
      <c r="Q20" s="124"/>
      <c r="R20" s="124"/>
      <c r="S20" s="134"/>
      <c r="T20" s="124"/>
      <c r="U20" s="124"/>
      <c r="V20" s="124"/>
      <c r="W20" s="124"/>
      <c r="X20" s="127"/>
      <c r="AA20" s="43"/>
      <c r="AF20" s="43"/>
    </row>
    <row r="21" spans="1:32" ht="12.75">
      <c r="A21" s="11" t="s">
        <v>477</v>
      </c>
      <c r="B21" s="7" t="s">
        <v>93</v>
      </c>
      <c r="C21" s="7"/>
      <c r="D21" s="7"/>
      <c r="E21" s="7"/>
      <c r="F21" s="74"/>
      <c r="G21" s="7" t="s">
        <v>88</v>
      </c>
      <c r="H21" s="7"/>
      <c r="I21" s="7"/>
      <c r="J21" s="7"/>
      <c r="K21" s="7"/>
      <c r="L21" s="8"/>
      <c r="M21" s="123"/>
      <c r="N21" s="124"/>
      <c r="O21" s="124"/>
      <c r="P21" s="124"/>
      <c r="Q21" s="124"/>
      <c r="R21" s="124"/>
      <c r="S21" s="134"/>
      <c r="T21" s="124"/>
      <c r="U21" s="124"/>
      <c r="V21" s="124"/>
      <c r="W21" s="124"/>
      <c r="X21" s="127"/>
      <c r="AA21" s="43"/>
      <c r="AF21" s="43"/>
    </row>
    <row r="22" spans="1:32" ht="12.75">
      <c r="A22" s="11" t="s">
        <v>478</v>
      </c>
      <c r="B22" s="7" t="s">
        <v>87</v>
      </c>
      <c r="C22" s="7"/>
      <c r="D22" s="7"/>
      <c r="E22" s="7"/>
      <c r="F22" s="74"/>
      <c r="G22" s="7" t="s">
        <v>88</v>
      </c>
      <c r="H22" s="74"/>
      <c r="I22" s="7" t="s">
        <v>154</v>
      </c>
      <c r="J22" s="7"/>
      <c r="K22" s="7"/>
      <c r="L22" s="8"/>
      <c r="M22" s="123"/>
      <c r="N22" s="124"/>
      <c r="O22" s="124"/>
      <c r="P22" s="124"/>
      <c r="Q22" s="124"/>
      <c r="R22" s="124"/>
      <c r="S22" s="134"/>
      <c r="T22" s="124"/>
      <c r="U22" s="124"/>
      <c r="V22" s="124"/>
      <c r="W22" s="124"/>
      <c r="X22" s="127"/>
      <c r="AA22" s="43"/>
      <c r="AF22" s="43"/>
    </row>
    <row r="23" spans="1:32" ht="12.75">
      <c r="A23" s="11" t="s">
        <v>479</v>
      </c>
      <c r="B23" s="7" t="s">
        <v>175</v>
      </c>
      <c r="C23" s="7"/>
      <c r="D23" s="7"/>
      <c r="E23" s="7"/>
      <c r="F23" s="74"/>
      <c r="G23" s="7" t="s">
        <v>89</v>
      </c>
      <c r="H23" s="7"/>
      <c r="I23" s="7"/>
      <c r="J23" s="7"/>
      <c r="K23" s="7"/>
      <c r="L23" s="8"/>
      <c r="M23" s="123"/>
      <c r="N23" s="124"/>
      <c r="O23" s="124"/>
      <c r="P23" s="124"/>
      <c r="Q23" s="124"/>
      <c r="R23" s="124"/>
      <c r="S23" s="134"/>
      <c r="T23" s="124"/>
      <c r="U23" s="124"/>
      <c r="V23" s="124"/>
      <c r="W23" s="124"/>
      <c r="X23" s="127"/>
      <c r="AA23" s="43"/>
      <c r="AF23" s="43"/>
    </row>
    <row r="24" spans="1:32" ht="12.75">
      <c r="A24" s="11"/>
      <c r="B24" s="7"/>
      <c r="C24" s="7"/>
      <c r="D24" s="7"/>
      <c r="E24" s="7"/>
      <c r="F24" s="7"/>
      <c r="G24" s="7"/>
      <c r="H24" s="7"/>
      <c r="I24" s="7"/>
      <c r="J24" s="7"/>
      <c r="K24" s="7"/>
      <c r="L24" s="8"/>
      <c r="M24" s="123"/>
      <c r="N24" s="124"/>
      <c r="O24" s="124"/>
      <c r="P24" s="124"/>
      <c r="Q24" s="124"/>
      <c r="R24" s="124"/>
      <c r="S24" s="134"/>
      <c r="T24" s="124"/>
      <c r="U24" s="124"/>
      <c r="V24" s="124"/>
      <c r="W24" s="124"/>
      <c r="X24" s="127"/>
      <c r="AA24" s="43"/>
      <c r="AF24" s="43"/>
    </row>
    <row r="25" spans="1:32" ht="12.75">
      <c r="A25" s="11"/>
      <c r="B25" s="7"/>
      <c r="C25" s="7"/>
      <c r="D25" s="7"/>
      <c r="E25" s="7"/>
      <c r="F25" s="7"/>
      <c r="G25" s="7"/>
      <c r="H25" s="7"/>
      <c r="I25" s="7"/>
      <c r="J25" s="7"/>
      <c r="K25" s="7"/>
      <c r="L25" s="8"/>
      <c r="M25" s="123"/>
      <c r="N25" s="124"/>
      <c r="O25" s="124"/>
      <c r="P25" s="124"/>
      <c r="Q25" s="124"/>
      <c r="R25" s="124"/>
      <c r="S25" s="134"/>
      <c r="T25" s="124"/>
      <c r="U25" s="124"/>
      <c r="V25" s="124"/>
      <c r="W25" s="124"/>
      <c r="X25" s="127"/>
      <c r="AA25" s="43"/>
      <c r="AF25" s="43"/>
    </row>
    <row r="26" spans="1:32" ht="12.75">
      <c r="A26" s="6" t="s">
        <v>480</v>
      </c>
      <c r="B26" s="12" t="s">
        <v>52</v>
      </c>
      <c r="C26" s="7"/>
      <c r="D26" s="7"/>
      <c r="E26" s="7"/>
      <c r="F26" s="7"/>
      <c r="G26" s="7"/>
      <c r="H26" s="7"/>
      <c r="I26" s="7"/>
      <c r="J26" s="7"/>
      <c r="K26" s="7"/>
      <c r="L26" s="8"/>
      <c r="M26" s="123"/>
      <c r="N26" s="124"/>
      <c r="O26" s="124"/>
      <c r="P26" s="124"/>
      <c r="Q26" s="124"/>
      <c r="R26" s="124"/>
      <c r="S26" s="134"/>
      <c r="T26" s="124"/>
      <c r="U26" s="124"/>
      <c r="V26" s="124"/>
      <c r="W26" s="124"/>
      <c r="X26" s="127"/>
      <c r="AA26" s="43"/>
      <c r="AB26" s="41" t="s">
        <v>188</v>
      </c>
      <c r="AC26" s="41"/>
      <c r="AD26" s="41"/>
      <c r="AE26" s="41"/>
      <c r="AF26" s="43"/>
    </row>
    <row r="27" spans="1:32" ht="12.75">
      <c r="A27" s="11"/>
      <c r="B27" s="7"/>
      <c r="C27" s="7"/>
      <c r="D27" s="7"/>
      <c r="E27" s="7"/>
      <c r="F27" s="7"/>
      <c r="G27" s="7"/>
      <c r="H27" s="7"/>
      <c r="I27" s="7"/>
      <c r="J27" s="7"/>
      <c r="K27" s="7"/>
      <c r="L27" s="8"/>
      <c r="M27" s="123"/>
      <c r="N27" s="124"/>
      <c r="O27" s="124"/>
      <c r="P27" s="124"/>
      <c r="Q27" s="124"/>
      <c r="R27" s="124"/>
      <c r="S27" s="134"/>
      <c r="T27" s="124"/>
      <c r="U27" s="124"/>
      <c r="V27" s="124"/>
      <c r="W27" s="124"/>
      <c r="X27" s="127"/>
      <c r="AA27" s="43"/>
      <c r="AB27" s="41" t="s">
        <v>550</v>
      </c>
      <c r="AC27" s="41" t="s">
        <v>177</v>
      </c>
      <c r="AD27" s="41" t="s">
        <v>125</v>
      </c>
      <c r="AE27" s="41" t="s">
        <v>126</v>
      </c>
      <c r="AF27" s="43"/>
    </row>
    <row r="28" spans="1:32" ht="12.75">
      <c r="A28" s="11"/>
      <c r="B28" s="7" t="s">
        <v>549</v>
      </c>
      <c r="C28" s="7"/>
      <c r="D28" s="7"/>
      <c r="E28" s="7"/>
      <c r="F28" s="238"/>
      <c r="G28" s="239"/>
      <c r="H28" s="239"/>
      <c r="I28" s="240"/>
      <c r="J28" s="7"/>
      <c r="K28" s="7"/>
      <c r="L28" s="8"/>
      <c r="M28" s="123"/>
      <c r="N28" s="124"/>
      <c r="O28" s="124"/>
      <c r="P28" s="124"/>
      <c r="Q28" s="124"/>
      <c r="R28" s="124"/>
      <c r="S28" s="134"/>
      <c r="T28" s="124"/>
      <c r="U28" s="124"/>
      <c r="V28" s="124"/>
      <c r="W28" s="124"/>
      <c r="X28" s="127"/>
      <c r="AA28" s="43"/>
      <c r="AB28" s="1" t="s">
        <v>179</v>
      </c>
      <c r="AC28" s="1" t="s">
        <v>179</v>
      </c>
      <c r="AD28" s="1" t="s">
        <v>179</v>
      </c>
      <c r="AE28" s="1" t="s">
        <v>179</v>
      </c>
      <c r="AF28" s="43"/>
    </row>
    <row r="29" spans="1:32" ht="12.75">
      <c r="A29" s="11"/>
      <c r="B29" s="7"/>
      <c r="C29" s="7"/>
      <c r="D29" s="7"/>
      <c r="E29" s="7"/>
      <c r="F29" s="7"/>
      <c r="G29" s="7"/>
      <c r="H29" s="7"/>
      <c r="I29" s="7"/>
      <c r="J29" s="7"/>
      <c r="K29" s="7"/>
      <c r="L29" s="8"/>
      <c r="M29" s="123"/>
      <c r="N29" s="124"/>
      <c r="O29" s="124"/>
      <c r="P29" s="124"/>
      <c r="Q29" s="124"/>
      <c r="R29" s="124"/>
      <c r="S29" s="134"/>
      <c r="T29" s="124"/>
      <c r="U29" s="124"/>
      <c r="V29" s="124"/>
      <c r="W29" s="124"/>
      <c r="X29" s="127"/>
      <c r="AA29" s="43"/>
      <c r="AB29" s="1" t="s">
        <v>189</v>
      </c>
      <c r="AC29" s="1" t="s">
        <v>189</v>
      </c>
      <c r="AD29" s="1" t="s">
        <v>189</v>
      </c>
      <c r="AE29" s="1" t="s">
        <v>189</v>
      </c>
      <c r="AF29" s="43"/>
    </row>
    <row r="30" spans="1:32" ht="12.75">
      <c r="A30" s="11"/>
      <c r="B30" s="7" t="s">
        <v>176</v>
      </c>
      <c r="C30" s="7"/>
      <c r="D30" s="7"/>
      <c r="E30" s="7"/>
      <c r="F30" s="238"/>
      <c r="G30" s="239"/>
      <c r="H30" s="239"/>
      <c r="I30" s="240"/>
      <c r="J30" s="7"/>
      <c r="K30" s="7"/>
      <c r="L30" s="8"/>
      <c r="M30" s="123"/>
      <c r="N30" s="124"/>
      <c r="O30" s="124"/>
      <c r="P30" s="124"/>
      <c r="Q30" s="124"/>
      <c r="R30" s="124"/>
      <c r="S30" s="134"/>
      <c r="T30" s="124"/>
      <c r="U30" s="124"/>
      <c r="V30" s="124"/>
      <c r="W30" s="124"/>
      <c r="X30" s="127"/>
      <c r="AA30" s="43"/>
      <c r="AB30" s="1" t="s">
        <v>457</v>
      </c>
      <c r="AC30" s="1" t="s">
        <v>457</v>
      </c>
      <c r="AD30" s="1" t="s">
        <v>457</v>
      </c>
      <c r="AE30" s="1" t="s">
        <v>457</v>
      </c>
      <c r="AF30" s="43"/>
    </row>
    <row r="31" spans="1:32" ht="12.75">
      <c r="A31" s="11"/>
      <c r="B31" s="7"/>
      <c r="C31" s="7"/>
      <c r="D31" s="7"/>
      <c r="E31" s="7"/>
      <c r="F31" s="7"/>
      <c r="G31" s="7"/>
      <c r="H31" s="7"/>
      <c r="I31" s="7"/>
      <c r="J31" s="7"/>
      <c r="K31" s="7"/>
      <c r="L31" s="8"/>
      <c r="M31" s="123"/>
      <c r="N31" s="124"/>
      <c r="O31" s="124"/>
      <c r="P31" s="124"/>
      <c r="Q31" s="124"/>
      <c r="R31" s="124"/>
      <c r="S31" s="134"/>
      <c r="T31" s="124"/>
      <c r="U31" s="124"/>
      <c r="V31" s="124"/>
      <c r="W31" s="124"/>
      <c r="X31" s="127"/>
      <c r="AA31" s="43"/>
      <c r="AB31" s="1" t="s">
        <v>178</v>
      </c>
      <c r="AC31" s="1" t="s">
        <v>178</v>
      </c>
      <c r="AD31" s="1" t="s">
        <v>178</v>
      </c>
      <c r="AE31" s="1" t="s">
        <v>178</v>
      </c>
      <c r="AF31" s="43"/>
    </row>
    <row r="32" spans="1:32" ht="12.75">
      <c r="A32" s="11"/>
      <c r="B32" s="7" t="s">
        <v>85</v>
      </c>
      <c r="C32" s="7"/>
      <c r="D32" s="7"/>
      <c r="E32" s="7"/>
      <c r="F32" s="238"/>
      <c r="G32" s="239"/>
      <c r="H32" s="239"/>
      <c r="I32" s="240"/>
      <c r="J32" s="7"/>
      <c r="K32" s="7"/>
      <c r="L32" s="8"/>
      <c r="M32" s="123"/>
      <c r="N32" s="124"/>
      <c r="O32" s="124"/>
      <c r="P32" s="124"/>
      <c r="Q32" s="124"/>
      <c r="R32" s="124"/>
      <c r="S32" s="134"/>
      <c r="T32" s="124"/>
      <c r="U32" s="124"/>
      <c r="V32" s="124"/>
      <c r="W32" s="124"/>
      <c r="X32" s="127"/>
      <c r="AA32" s="43"/>
      <c r="AB32" s="1" t="s">
        <v>180</v>
      </c>
      <c r="AC32" s="1" t="s">
        <v>180</v>
      </c>
      <c r="AD32" s="1" t="s">
        <v>180</v>
      </c>
      <c r="AE32" s="1" t="s">
        <v>180</v>
      </c>
      <c r="AF32" s="43"/>
    </row>
    <row r="33" spans="1:32" ht="12.75">
      <c r="A33" s="11"/>
      <c r="B33" s="7"/>
      <c r="C33" s="7"/>
      <c r="D33" s="7"/>
      <c r="E33" s="7"/>
      <c r="F33" s="7"/>
      <c r="G33" s="7"/>
      <c r="H33" s="7"/>
      <c r="I33" s="7"/>
      <c r="J33" s="7"/>
      <c r="K33" s="7"/>
      <c r="L33" s="8"/>
      <c r="M33" s="123"/>
      <c r="N33" s="124"/>
      <c r="O33" s="124"/>
      <c r="P33" s="124"/>
      <c r="Q33" s="124"/>
      <c r="R33" s="124"/>
      <c r="S33" s="134"/>
      <c r="T33" s="124"/>
      <c r="U33" s="124"/>
      <c r="V33" s="124"/>
      <c r="W33" s="124"/>
      <c r="X33" s="127"/>
      <c r="AA33" s="43"/>
      <c r="AB33" s="1" t="s">
        <v>181</v>
      </c>
      <c r="AC33" s="1" t="s">
        <v>181</v>
      </c>
      <c r="AD33" s="1" t="s">
        <v>181</v>
      </c>
      <c r="AE33" s="1" t="s">
        <v>181</v>
      </c>
      <c r="AF33" s="43"/>
    </row>
    <row r="34" spans="1:32" ht="12.75">
      <c r="A34" s="11"/>
      <c r="B34" s="7" t="s">
        <v>86</v>
      </c>
      <c r="C34" s="7"/>
      <c r="D34" s="7"/>
      <c r="E34" s="7"/>
      <c r="F34" s="238"/>
      <c r="G34" s="239"/>
      <c r="H34" s="239"/>
      <c r="I34" s="240"/>
      <c r="J34" s="7"/>
      <c r="K34" s="7"/>
      <c r="L34" s="8"/>
      <c r="M34" s="123"/>
      <c r="N34" s="124"/>
      <c r="O34" s="124"/>
      <c r="P34" s="124"/>
      <c r="Q34" s="124"/>
      <c r="R34" s="124"/>
      <c r="S34" s="134"/>
      <c r="T34" s="124"/>
      <c r="U34" s="124"/>
      <c r="V34" s="124"/>
      <c r="W34" s="124"/>
      <c r="X34" s="127"/>
      <c r="AA34" s="43"/>
      <c r="AB34" s="1" t="s">
        <v>182</v>
      </c>
      <c r="AC34" s="1" t="s">
        <v>182</v>
      </c>
      <c r="AD34" s="1" t="s">
        <v>182</v>
      </c>
      <c r="AE34" s="1" t="s">
        <v>182</v>
      </c>
      <c r="AF34" s="43"/>
    </row>
    <row r="35" spans="1:32" ht="12.75">
      <c r="A35" s="11"/>
      <c r="B35" s="7"/>
      <c r="C35" s="7"/>
      <c r="D35" s="7"/>
      <c r="E35" s="7"/>
      <c r="F35" s="7"/>
      <c r="G35" s="7"/>
      <c r="H35" s="7"/>
      <c r="I35" s="7"/>
      <c r="J35" s="7"/>
      <c r="K35" s="7"/>
      <c r="L35" s="8"/>
      <c r="M35" s="123"/>
      <c r="N35" s="124"/>
      <c r="O35" s="124"/>
      <c r="P35" s="124"/>
      <c r="Q35" s="124"/>
      <c r="R35" s="124"/>
      <c r="S35" s="134"/>
      <c r="T35" s="124"/>
      <c r="U35" s="124"/>
      <c r="V35" s="124"/>
      <c r="W35" s="124"/>
      <c r="X35" s="127"/>
      <c r="AA35" s="43"/>
      <c r="AB35" s="1" t="s">
        <v>183</v>
      </c>
      <c r="AC35" s="1" t="s">
        <v>183</v>
      </c>
      <c r="AD35" s="1" t="s">
        <v>183</v>
      </c>
      <c r="AE35" s="1" t="s">
        <v>183</v>
      </c>
      <c r="AF35" s="43"/>
    </row>
    <row r="36" spans="1:32" ht="12.75">
      <c r="A36" s="18"/>
      <c r="B36" s="19"/>
      <c r="C36" s="19"/>
      <c r="D36" s="19"/>
      <c r="E36" s="19"/>
      <c r="F36" s="19"/>
      <c r="G36" s="19"/>
      <c r="H36" s="19"/>
      <c r="I36" s="19"/>
      <c r="J36" s="19"/>
      <c r="K36" s="19"/>
      <c r="L36" s="20"/>
      <c r="M36" s="139"/>
      <c r="N36" s="140"/>
      <c r="O36" s="140"/>
      <c r="P36" s="140"/>
      <c r="Q36" s="140"/>
      <c r="R36" s="140"/>
      <c r="S36" s="148"/>
      <c r="T36" s="140"/>
      <c r="U36" s="140"/>
      <c r="V36" s="140"/>
      <c r="W36" s="140"/>
      <c r="X36" s="143"/>
      <c r="AA36" s="43"/>
      <c r="AB36" s="1" t="s">
        <v>184</v>
      </c>
      <c r="AC36" s="1" t="s">
        <v>184</v>
      </c>
      <c r="AD36" s="1" t="s">
        <v>184</v>
      </c>
      <c r="AE36" s="1" t="s">
        <v>184</v>
      </c>
      <c r="AF36" s="43"/>
    </row>
    <row r="37" spans="27:32" ht="12.75">
      <c r="AA37" s="43"/>
      <c r="AB37" s="1" t="s">
        <v>185</v>
      </c>
      <c r="AC37" s="1" t="s">
        <v>185</v>
      </c>
      <c r="AD37" s="1" t="s">
        <v>185</v>
      </c>
      <c r="AE37" s="1" t="s">
        <v>185</v>
      </c>
      <c r="AF37" s="43"/>
    </row>
    <row r="38" spans="27:32" ht="12.75">
      <c r="AA38" s="43"/>
      <c r="AB38" s="1" t="s">
        <v>190</v>
      </c>
      <c r="AC38" s="1" t="s">
        <v>190</v>
      </c>
      <c r="AD38" s="1" t="s">
        <v>190</v>
      </c>
      <c r="AE38" s="1" t="s">
        <v>190</v>
      </c>
      <c r="AF38" s="43"/>
    </row>
    <row r="39" spans="27:32" ht="12.75">
      <c r="AA39" s="43"/>
      <c r="AB39" s="1" t="s">
        <v>186</v>
      </c>
      <c r="AC39" s="1" t="s">
        <v>186</v>
      </c>
      <c r="AD39" s="1" t="s">
        <v>186</v>
      </c>
      <c r="AE39" s="1" t="s">
        <v>186</v>
      </c>
      <c r="AF39" s="43"/>
    </row>
    <row r="40" spans="27:32" ht="12.75">
      <c r="AA40" s="43"/>
      <c r="AB40" s="1" t="s">
        <v>187</v>
      </c>
      <c r="AC40" s="1" t="s">
        <v>187</v>
      </c>
      <c r="AD40" s="1" t="s">
        <v>187</v>
      </c>
      <c r="AE40" s="1" t="s">
        <v>187</v>
      </c>
      <c r="AF40" s="43"/>
    </row>
    <row r="41" spans="27:32" ht="12.75">
      <c r="AA41" s="43"/>
      <c r="AB41" s="1" t="s">
        <v>228</v>
      </c>
      <c r="AC41" s="1" t="s">
        <v>228</v>
      </c>
      <c r="AD41" s="1" t="s">
        <v>228</v>
      </c>
      <c r="AE41" s="1" t="s">
        <v>228</v>
      </c>
      <c r="AF41" s="43"/>
    </row>
  </sheetData>
  <sheetProtection password="CF5B" sheet="1" objects="1" scenarios="1" selectLockedCells="1"/>
  <mergeCells count="8">
    <mergeCell ref="F34:I34"/>
    <mergeCell ref="F5:I5"/>
    <mergeCell ref="F28:I28"/>
    <mergeCell ref="F30:I30"/>
    <mergeCell ref="F32:I32"/>
    <mergeCell ref="F6:I6"/>
    <mergeCell ref="F7:I7"/>
    <mergeCell ref="F8:I8"/>
  </mergeCells>
  <dataValidations count="4">
    <dataValidation type="list" allowBlank="1" showInputMessage="1" showErrorMessage="1" sqref="F28:I28">
      <formula1>AB28:AB41</formula1>
    </dataValidation>
    <dataValidation type="list" allowBlank="1" showInputMessage="1" showErrorMessage="1" sqref="F30:I30">
      <formula1>AC28:AC41</formula1>
    </dataValidation>
    <dataValidation type="list" allowBlank="1" showInputMessage="1" showErrorMessage="1" sqref="F32:I32">
      <formula1>AD28:AD41</formula1>
    </dataValidation>
    <dataValidation type="list" allowBlank="1" showInputMessage="1" showErrorMessage="1" sqref="F34:I34">
      <formula1>AE28:AE41</formula1>
    </dataValidation>
  </dataValidations>
  <printOptions/>
  <pageMargins left="0.3937007874015748" right="0.3937007874015748" top="0.3937007874015748" bottom="0.1968503937007874" header="0.11811023622047245" footer="0.5118110236220472"/>
  <pageSetup fitToWidth="2" horizontalDpi="600" verticalDpi="600" orientation="landscape" paperSize="9" r:id="rId4"/>
  <colBreaks count="1" manualBreakCount="1">
    <brk id="12" max="35" man="1"/>
  </colBreaks>
  <drawing r:id="rId3"/>
  <legacyDrawing r:id="rId2"/>
</worksheet>
</file>

<file path=xl/worksheets/sheet5.xml><?xml version="1.0" encoding="utf-8"?>
<worksheet xmlns="http://schemas.openxmlformats.org/spreadsheetml/2006/main" xmlns:r="http://schemas.openxmlformats.org/officeDocument/2006/relationships">
  <dimension ref="A1:AJ42"/>
  <sheetViews>
    <sheetView showGridLines="0" workbookViewId="0" topLeftCell="A13">
      <selection activeCell="D17" sqref="D17"/>
    </sheetView>
  </sheetViews>
  <sheetFormatPr defaultColWidth="11.421875" defaultRowHeight="12.75"/>
  <cols>
    <col min="1" max="1" width="8.140625" style="2" customWidth="1"/>
    <col min="2" max="2" width="10.8515625" style="1" customWidth="1"/>
    <col min="3" max="5" width="12.28125" style="1" customWidth="1"/>
    <col min="6" max="6" width="4.7109375" style="1" customWidth="1"/>
    <col min="7" max="7" width="8.28125" style="1" bestFit="1" customWidth="1"/>
    <col min="8" max="8" width="5.28125" style="1" customWidth="1"/>
    <col min="9" max="9" width="8.28125" style="1" bestFit="1" customWidth="1"/>
    <col min="10" max="10" width="6.57421875" style="1" customWidth="1"/>
    <col min="11" max="11" width="8.28125" style="1" bestFit="1" customWidth="1"/>
    <col min="12" max="12" width="29.00390625" style="1" bestFit="1" customWidth="1"/>
    <col min="13" max="13" width="11.421875" style="1" customWidth="1"/>
    <col min="14" max="14" width="4.00390625" style="1" customWidth="1"/>
    <col min="15" max="15" width="32.8515625" style="1" customWidth="1"/>
    <col min="16" max="16" width="7.00390625" style="1" customWidth="1"/>
    <col min="17" max="17" width="11.421875" style="40" customWidth="1"/>
    <col min="18" max="18" width="11.421875" style="1" customWidth="1"/>
    <col min="19" max="19" width="11.421875" style="33" customWidth="1"/>
    <col min="20" max="24" width="11.421875" style="1" customWidth="1"/>
    <col min="25" max="25" width="6.421875" style="1" customWidth="1"/>
    <col min="26" max="26" width="11.421875" style="1" customWidth="1"/>
    <col min="27" max="34" width="0" style="1" hidden="1" customWidth="1"/>
    <col min="35" max="16384" width="11.421875" style="1" customWidth="1"/>
  </cols>
  <sheetData>
    <row r="1" spans="1:25" ht="15.75">
      <c r="A1" s="29" t="str">
        <f>Allgemeines!A1</f>
        <v>Steirischer Abfallspiegel - Datenerhebung</v>
      </c>
      <c r="B1" s="4"/>
      <c r="C1" s="4"/>
      <c r="D1" s="4"/>
      <c r="E1" s="4"/>
      <c r="F1" s="4"/>
      <c r="G1" s="4"/>
      <c r="H1" s="4"/>
      <c r="I1" s="4"/>
      <c r="J1" s="4"/>
      <c r="K1" s="4"/>
      <c r="L1" s="4"/>
      <c r="M1" s="5"/>
      <c r="N1" s="118" t="s">
        <v>554</v>
      </c>
      <c r="O1" s="119"/>
      <c r="P1" s="119"/>
      <c r="Q1" s="120"/>
      <c r="R1" s="119"/>
      <c r="S1" s="121"/>
      <c r="T1" s="119"/>
      <c r="U1" s="119"/>
      <c r="V1" s="119"/>
      <c r="W1" s="119"/>
      <c r="X1" s="119"/>
      <c r="Y1" s="122"/>
    </row>
    <row r="2" spans="1:25" ht="12.75">
      <c r="A2" s="6" t="s">
        <v>77</v>
      </c>
      <c r="B2" s="7"/>
      <c r="C2" s="21">
        <f>IF(Allgemeines!F12="","Unter Allgemeines wurde kein Untersuchungsjahr ausgewählt!",Allgemeines!F12)</f>
        <v>2008</v>
      </c>
      <c r="D2" s="7"/>
      <c r="E2" s="7"/>
      <c r="F2" s="7"/>
      <c r="G2" s="7"/>
      <c r="H2" s="7"/>
      <c r="I2" s="7"/>
      <c r="J2" s="7"/>
      <c r="K2" s="7"/>
      <c r="L2" s="7"/>
      <c r="M2" s="8"/>
      <c r="N2" s="123"/>
      <c r="O2" s="124"/>
      <c r="P2" s="124"/>
      <c r="Q2" s="125"/>
      <c r="R2" s="124"/>
      <c r="S2" s="126"/>
      <c r="T2" s="124"/>
      <c r="U2" s="124"/>
      <c r="V2" s="124"/>
      <c r="W2" s="124"/>
      <c r="X2" s="124"/>
      <c r="Y2" s="127"/>
    </row>
    <row r="3" spans="1:25" ht="12.75">
      <c r="A3" s="11"/>
      <c r="B3" s="7"/>
      <c r="C3" s="7"/>
      <c r="D3" s="7"/>
      <c r="E3" s="7"/>
      <c r="F3" s="7"/>
      <c r="G3" s="7"/>
      <c r="H3" s="7"/>
      <c r="I3" s="7"/>
      <c r="J3" s="7"/>
      <c r="K3" s="7"/>
      <c r="L3" s="7"/>
      <c r="M3" s="8"/>
      <c r="N3" s="123"/>
      <c r="O3" s="124"/>
      <c r="P3" s="124"/>
      <c r="Q3" s="125"/>
      <c r="R3" s="124"/>
      <c r="S3" s="126"/>
      <c r="T3" s="124"/>
      <c r="U3" s="124"/>
      <c r="V3" s="124"/>
      <c r="W3" s="124"/>
      <c r="X3" s="124"/>
      <c r="Y3" s="127"/>
    </row>
    <row r="4" spans="1:35" ht="15.75">
      <c r="A4" s="9" t="s">
        <v>99</v>
      </c>
      <c r="B4" s="10" t="s">
        <v>551</v>
      </c>
      <c r="C4" s="7"/>
      <c r="D4" s="7"/>
      <c r="E4" s="7"/>
      <c r="F4" s="7"/>
      <c r="G4" s="7"/>
      <c r="H4" s="7"/>
      <c r="I4" s="7"/>
      <c r="J4" s="7"/>
      <c r="K4" s="7"/>
      <c r="L4" s="7"/>
      <c r="M4" s="8"/>
      <c r="N4" s="123"/>
      <c r="O4" s="124"/>
      <c r="P4" s="124"/>
      <c r="Q4" s="125"/>
      <c r="R4" s="124"/>
      <c r="S4" s="126"/>
      <c r="T4" s="124"/>
      <c r="U4" s="124"/>
      <c r="V4" s="124"/>
      <c r="W4" s="124"/>
      <c r="X4" s="124"/>
      <c r="Y4" s="127"/>
      <c r="Z4" s="43"/>
      <c r="AI4" s="43"/>
    </row>
    <row r="5" spans="1:25" ht="12.75">
      <c r="A5" s="16"/>
      <c r="B5" s="7"/>
      <c r="C5" s="7"/>
      <c r="D5" s="7"/>
      <c r="E5" s="7"/>
      <c r="F5" s="7"/>
      <c r="G5" s="7"/>
      <c r="H5" s="7"/>
      <c r="I5" s="7"/>
      <c r="J5" s="7"/>
      <c r="K5" s="7"/>
      <c r="L5" s="7"/>
      <c r="M5" s="72">
        <f>Allgemeines!L5+1</f>
        <v>2</v>
      </c>
      <c r="N5" s="123"/>
      <c r="O5" s="130"/>
      <c r="P5" s="130"/>
      <c r="Q5" s="131"/>
      <c r="R5" s="130"/>
      <c r="S5" s="149"/>
      <c r="T5" s="124"/>
      <c r="U5" s="124"/>
      <c r="V5" s="124"/>
      <c r="W5" s="124"/>
      <c r="X5" s="124"/>
      <c r="Y5" s="127"/>
    </row>
    <row r="6" spans="1:30" ht="15.75">
      <c r="A6" s="9" t="s">
        <v>100</v>
      </c>
      <c r="B6" s="10" t="s">
        <v>212</v>
      </c>
      <c r="C6" s="7"/>
      <c r="D6" s="7"/>
      <c r="E6" s="7"/>
      <c r="F6" s="7"/>
      <c r="G6" s="7"/>
      <c r="H6" s="7"/>
      <c r="I6" s="7"/>
      <c r="J6" s="7"/>
      <c r="K6" s="7"/>
      <c r="L6" s="7"/>
      <c r="M6" s="8"/>
      <c r="N6" s="123"/>
      <c r="O6" s="134" t="s">
        <v>110</v>
      </c>
      <c r="P6" s="124"/>
      <c r="Q6" s="147">
        <f>IF(OR(AE36=0,Allgemeines!Q10=""),"",Restabfall!AE36/Allgemeines!Q10)</f>
      </c>
      <c r="R6" s="124" t="s">
        <v>433</v>
      </c>
      <c r="S6" s="150">
        <f>IF(Q6="","",IF(OR(Q6&lt;150,Q6&gt;2500),"=&gt; Wert erscheint nach erster Prüfung auffällig, bitte auf Plausibilität prüfen!",""))</f>
      </c>
      <c r="T6" s="124"/>
      <c r="U6" s="124"/>
      <c r="V6" s="124"/>
      <c r="W6" s="124"/>
      <c r="X6" s="124"/>
      <c r="Y6" s="127"/>
      <c r="AD6" s="1" t="s">
        <v>115</v>
      </c>
    </row>
    <row r="7" spans="1:25" ht="12.75">
      <c r="A7" s="6" t="s">
        <v>101</v>
      </c>
      <c r="B7" s="12" t="s">
        <v>421</v>
      </c>
      <c r="C7" s="7"/>
      <c r="D7" s="7"/>
      <c r="E7" s="7"/>
      <c r="F7" s="7"/>
      <c r="G7" s="7"/>
      <c r="H7" s="7"/>
      <c r="I7" s="7"/>
      <c r="J7" s="7"/>
      <c r="K7" s="7"/>
      <c r="L7" s="7"/>
      <c r="M7" s="8"/>
      <c r="N7" s="123"/>
      <c r="O7" s="130"/>
      <c r="P7" s="124"/>
      <c r="Q7" s="129" t="str">
        <f>IF(AE36=0,"Behälterangaben fehlen!","")</f>
        <v>Behälterangaben fehlen!</v>
      </c>
      <c r="R7" s="124"/>
      <c r="S7" s="126" t="str">
        <f>IF(Allgemeines!Q10="","Angaben zu den Einwohnern fehlen!","")</f>
        <v>Angaben zu den Einwohnern fehlen!</v>
      </c>
      <c r="T7" s="130"/>
      <c r="U7" s="130"/>
      <c r="V7" s="124"/>
      <c r="W7" s="124"/>
      <c r="X7" s="124"/>
      <c r="Y7" s="127"/>
    </row>
    <row r="8" spans="1:33" ht="38.25">
      <c r="A8" s="16"/>
      <c r="B8" s="22" t="s">
        <v>71</v>
      </c>
      <c r="C8" s="23" t="s">
        <v>427</v>
      </c>
      <c r="D8" s="24"/>
      <c r="E8" s="24"/>
      <c r="F8" s="24"/>
      <c r="G8" s="24"/>
      <c r="H8" s="24"/>
      <c r="I8" s="24"/>
      <c r="J8" s="24"/>
      <c r="K8" s="25"/>
      <c r="L8" s="22" t="s">
        <v>109</v>
      </c>
      <c r="M8" s="8"/>
      <c r="N8" s="123"/>
      <c r="O8" s="130"/>
      <c r="P8" s="130"/>
      <c r="Q8" s="131"/>
      <c r="R8" s="130"/>
      <c r="S8" s="149"/>
      <c r="T8" s="130"/>
      <c r="U8" s="124"/>
      <c r="V8" s="124"/>
      <c r="W8" s="124"/>
      <c r="X8" s="124"/>
      <c r="Y8" s="127"/>
      <c r="AA8" s="41" t="s">
        <v>72</v>
      </c>
      <c r="AB8" s="41"/>
      <c r="AD8" s="1" t="s">
        <v>116</v>
      </c>
      <c r="AE8" s="1" t="s">
        <v>117</v>
      </c>
      <c r="AF8" s="1" t="s">
        <v>119</v>
      </c>
      <c r="AG8" s="1" t="s">
        <v>118</v>
      </c>
    </row>
    <row r="9" spans="1:25" ht="12.75">
      <c r="A9" s="16"/>
      <c r="B9" s="26"/>
      <c r="C9" s="14" t="s">
        <v>422</v>
      </c>
      <c r="D9" s="14" t="s">
        <v>423</v>
      </c>
      <c r="E9" s="14" t="s">
        <v>424</v>
      </c>
      <c r="F9" s="247" t="s">
        <v>425</v>
      </c>
      <c r="G9" s="248"/>
      <c r="H9" s="34"/>
      <c r="I9" s="14" t="s">
        <v>75</v>
      </c>
      <c r="J9" s="34"/>
      <c r="K9" s="14" t="s">
        <v>75</v>
      </c>
      <c r="L9" s="27"/>
      <c r="M9" s="8"/>
      <c r="N9" s="123"/>
      <c r="O9" s="134" t="s">
        <v>108</v>
      </c>
      <c r="P9" s="124"/>
      <c r="Q9" s="146">
        <f>IF(OR(Allgemeines!Q10="",Restabfall!L35=""),"",Restabfall!L35*1000/Allgemeines!Q10)</f>
      </c>
      <c r="R9" s="124" t="s">
        <v>223</v>
      </c>
      <c r="S9" s="151">
        <f>IF(Q9="","",IF(OR(Q9&lt;20,Q9&gt;200),"=&gt; Wert erscheint nach erster Prüfung auffällig, bitte auf Plausibilität prüfen!",""))</f>
      </c>
      <c r="T9" s="124"/>
      <c r="U9" s="124"/>
      <c r="V9" s="124"/>
      <c r="W9" s="124"/>
      <c r="X9" s="124"/>
      <c r="Y9" s="127"/>
    </row>
    <row r="10" spans="1:33" ht="12.75">
      <c r="A10" s="16"/>
      <c r="B10" s="28">
        <v>80</v>
      </c>
      <c r="C10" s="35"/>
      <c r="D10" s="35"/>
      <c r="E10" s="35"/>
      <c r="F10" s="245"/>
      <c r="G10" s="246"/>
      <c r="H10" s="245"/>
      <c r="I10" s="246"/>
      <c r="J10" s="245"/>
      <c r="K10" s="246"/>
      <c r="L10" s="36"/>
      <c r="M10" s="8"/>
      <c r="N10" s="123"/>
      <c r="O10" s="124"/>
      <c r="P10" s="124"/>
      <c r="Q10" s="129" t="str">
        <f>IF(L35="","Mengenangabe fehlt!","")</f>
        <v>Mengenangabe fehlt!</v>
      </c>
      <c r="R10" s="124"/>
      <c r="S10" s="152" t="str">
        <f>IF(Allgemeines!Q10="","Angaben zu den Einwohnern fehlen!","")</f>
        <v>Angaben zu den Einwohnern fehlen!</v>
      </c>
      <c r="T10" s="124"/>
      <c r="U10" s="124"/>
      <c r="V10" s="124"/>
      <c r="W10" s="124"/>
      <c r="X10" s="124"/>
      <c r="Y10" s="127"/>
      <c r="AA10" s="1" t="s">
        <v>204</v>
      </c>
      <c r="AD10" s="30">
        <f>((C10*52)+(D10*26)+(E10*13)+(F10*(52/6))+(H10*$H$9)+(J10*$J$9))</f>
        <v>0</v>
      </c>
      <c r="AE10" s="30">
        <f aca="true" t="shared" si="0" ref="AE10:AE17">AD10*B10</f>
        <v>0</v>
      </c>
      <c r="AF10" s="32">
        <v>0.8</v>
      </c>
      <c r="AG10" s="30">
        <f>AD10*AF10</f>
        <v>0</v>
      </c>
    </row>
    <row r="11" spans="1:33" ht="12.75">
      <c r="A11" s="16"/>
      <c r="B11" s="28">
        <v>120</v>
      </c>
      <c r="C11" s="35"/>
      <c r="D11" s="35"/>
      <c r="E11" s="35"/>
      <c r="F11" s="245"/>
      <c r="G11" s="246"/>
      <c r="H11" s="245"/>
      <c r="I11" s="246"/>
      <c r="J11" s="245"/>
      <c r="K11" s="246"/>
      <c r="L11" s="36"/>
      <c r="M11" s="8"/>
      <c r="N11" s="123"/>
      <c r="O11" s="130"/>
      <c r="P11" s="130"/>
      <c r="Q11" s="131"/>
      <c r="R11" s="130"/>
      <c r="S11" s="149"/>
      <c r="T11" s="124"/>
      <c r="U11" s="124"/>
      <c r="V11" s="124"/>
      <c r="W11" s="124"/>
      <c r="X11" s="124"/>
      <c r="Y11" s="127"/>
      <c r="AA11" s="1" t="s">
        <v>73</v>
      </c>
      <c r="AD11" s="30">
        <f>((C11*52)+(D11*26)+(E11*13)+(F11*(52/6))+(H11*$H$9)+(J11*$J$9))</f>
        <v>0</v>
      </c>
      <c r="AE11" s="30">
        <f t="shared" si="0"/>
        <v>0</v>
      </c>
      <c r="AF11" s="32">
        <v>0.8</v>
      </c>
      <c r="AG11" s="30">
        <f aca="true" t="shared" si="1" ref="AG11:AG17">AD11*AF11</f>
        <v>0</v>
      </c>
    </row>
    <row r="12" spans="1:33" ht="12.75">
      <c r="A12" s="16"/>
      <c r="B12" s="28">
        <v>240</v>
      </c>
      <c r="C12" s="35"/>
      <c r="D12" s="35"/>
      <c r="E12" s="35"/>
      <c r="F12" s="245"/>
      <c r="G12" s="246"/>
      <c r="H12" s="245"/>
      <c r="I12" s="246"/>
      <c r="J12" s="245"/>
      <c r="K12" s="246"/>
      <c r="L12" s="36"/>
      <c r="M12" s="8"/>
      <c r="N12" s="123"/>
      <c r="O12" s="134" t="s">
        <v>218</v>
      </c>
      <c r="P12" s="124"/>
      <c r="Q12" s="146">
        <f>IF(OR(L38="",L35=""),"",L38/L35)</f>
      </c>
      <c r="R12" s="124" t="s">
        <v>217</v>
      </c>
      <c r="S12" s="151">
        <f>IF(Q12="","",IF(OR(Q12&lt;25,Q12&gt;200),"=&gt; Wert erscheint nach erster Prüfung auffällig, bitte auf Plausibilität prüfen!",""))</f>
      </c>
      <c r="T12" s="124"/>
      <c r="U12" s="124"/>
      <c r="V12" s="124"/>
      <c r="W12" s="124"/>
      <c r="X12" s="124"/>
      <c r="Y12" s="127"/>
      <c r="AA12" s="1" t="s">
        <v>495</v>
      </c>
      <c r="AD12" s="30">
        <f aca="true" t="shared" si="2" ref="AD12:AD17">((C12*52)+(D12*26)+(E12*13)+(F12*(52/6))+(H12*$H$9)+(J12*$J$9))</f>
        <v>0</v>
      </c>
      <c r="AE12" s="30">
        <f>AD12*B12</f>
        <v>0</v>
      </c>
      <c r="AF12" s="32">
        <v>1</v>
      </c>
      <c r="AG12" s="30">
        <f>AD12*AF12</f>
        <v>0</v>
      </c>
    </row>
    <row r="13" spans="1:33" ht="12.75">
      <c r="A13" s="16"/>
      <c r="B13" s="28">
        <v>770</v>
      </c>
      <c r="C13" s="35"/>
      <c r="D13" s="35"/>
      <c r="E13" s="35"/>
      <c r="F13" s="245"/>
      <c r="G13" s="246"/>
      <c r="H13" s="245"/>
      <c r="I13" s="246"/>
      <c r="J13" s="245"/>
      <c r="K13" s="246"/>
      <c r="L13" s="36"/>
      <c r="M13" s="8"/>
      <c r="N13" s="123"/>
      <c r="O13" s="134"/>
      <c r="P13" s="124"/>
      <c r="Q13" s="129" t="str">
        <f>IF(L38="","Kostenangabe fehlt!","")</f>
        <v>Kostenangabe fehlt!</v>
      </c>
      <c r="R13" s="124"/>
      <c r="S13" s="126" t="str">
        <f>IF(L35="","Mengenangabe fehlt!","")</f>
        <v>Mengenangabe fehlt!</v>
      </c>
      <c r="T13" s="130"/>
      <c r="U13" s="124"/>
      <c r="V13" s="124"/>
      <c r="W13" s="124"/>
      <c r="X13" s="124"/>
      <c r="Y13" s="127"/>
      <c r="AA13" s="1" t="s">
        <v>74</v>
      </c>
      <c r="AD13" s="30">
        <f t="shared" si="2"/>
        <v>0</v>
      </c>
      <c r="AE13" s="30">
        <f t="shared" si="0"/>
        <v>0</v>
      </c>
      <c r="AF13" s="32">
        <v>4</v>
      </c>
      <c r="AG13" s="30">
        <f t="shared" si="1"/>
        <v>0</v>
      </c>
    </row>
    <row r="14" spans="1:33" ht="12.75">
      <c r="A14" s="16"/>
      <c r="B14" s="28">
        <v>1100</v>
      </c>
      <c r="C14" s="35"/>
      <c r="D14" s="35"/>
      <c r="E14" s="35"/>
      <c r="F14" s="245"/>
      <c r="G14" s="246"/>
      <c r="H14" s="245"/>
      <c r="I14" s="246"/>
      <c r="J14" s="245"/>
      <c r="K14" s="246"/>
      <c r="L14" s="36"/>
      <c r="M14" s="8"/>
      <c r="N14" s="123"/>
      <c r="O14" s="130"/>
      <c r="P14" s="130"/>
      <c r="Q14" s="131"/>
      <c r="R14" s="130"/>
      <c r="S14" s="149"/>
      <c r="T14" s="124"/>
      <c r="U14" s="124"/>
      <c r="V14" s="124"/>
      <c r="W14" s="124"/>
      <c r="X14" s="124"/>
      <c r="Y14" s="127"/>
      <c r="AD14" s="30">
        <f t="shared" si="2"/>
        <v>0</v>
      </c>
      <c r="AE14" s="30">
        <f t="shared" si="0"/>
        <v>0</v>
      </c>
      <c r="AF14" s="32">
        <v>4</v>
      </c>
      <c r="AG14" s="30">
        <f t="shared" si="1"/>
        <v>0</v>
      </c>
    </row>
    <row r="15" spans="1:33" ht="12.75">
      <c r="A15" s="16"/>
      <c r="B15" s="37"/>
      <c r="C15" s="35"/>
      <c r="D15" s="35"/>
      <c r="E15" s="35"/>
      <c r="F15" s="245"/>
      <c r="G15" s="246"/>
      <c r="H15" s="245"/>
      <c r="I15" s="246"/>
      <c r="J15" s="245"/>
      <c r="K15" s="246"/>
      <c r="L15" s="36"/>
      <c r="M15" s="8"/>
      <c r="N15" s="123"/>
      <c r="O15" s="134" t="s">
        <v>111</v>
      </c>
      <c r="P15" s="124"/>
      <c r="Q15" s="146">
        <f>IF(OR(L39="",L35=""),"",L39/L35)</f>
      </c>
      <c r="R15" s="124" t="s">
        <v>217</v>
      </c>
      <c r="S15" s="151">
        <f>IF(Q15="","",IF(OR(Q15&lt;80,Q15&gt;400),"=&gt; Wert erscheint nach erster Prüfung auffällig, bitte auf Plausibilität prüfen!",""))</f>
      </c>
      <c r="T15" s="124"/>
      <c r="U15" s="124"/>
      <c r="V15" s="124"/>
      <c r="W15" s="124"/>
      <c r="X15" s="124"/>
      <c r="Y15" s="127"/>
      <c r="AD15" s="30">
        <f>((C15*52)+(D15*26)+(E15*13)+(F15*(52/6))+(H15*$H$9)+(J15*$J$9))</f>
        <v>0</v>
      </c>
      <c r="AE15" s="30">
        <f>AD15*B15</f>
        <v>0</v>
      </c>
      <c r="AF15" s="32">
        <f>IF(B15&lt;240,0.8,IF(B15=240,1,IF(B15&gt;240,4,"")))</f>
        <v>0.8</v>
      </c>
      <c r="AG15" s="30">
        <f t="shared" si="1"/>
        <v>0</v>
      </c>
    </row>
    <row r="16" spans="1:33" ht="12.75">
      <c r="A16" s="16"/>
      <c r="B16" s="37"/>
      <c r="C16" s="35"/>
      <c r="D16" s="35"/>
      <c r="E16" s="35"/>
      <c r="F16" s="245"/>
      <c r="G16" s="246"/>
      <c r="H16" s="245"/>
      <c r="I16" s="246"/>
      <c r="J16" s="245"/>
      <c r="K16" s="246"/>
      <c r="L16" s="36"/>
      <c r="M16" s="8"/>
      <c r="N16" s="123"/>
      <c r="O16" s="134"/>
      <c r="P16" s="124"/>
      <c r="Q16" s="129" t="str">
        <f>IF(L39="","Kostenangabe fehlt!","")</f>
        <v>Kostenangabe fehlt!</v>
      </c>
      <c r="R16" s="124"/>
      <c r="S16" s="126" t="str">
        <f>IF(L35="","Mengenangabe fehlt!","")</f>
        <v>Mengenangabe fehlt!</v>
      </c>
      <c r="T16" s="130"/>
      <c r="U16" s="124"/>
      <c r="V16" s="124"/>
      <c r="W16" s="124"/>
      <c r="X16" s="124"/>
      <c r="Y16" s="127"/>
      <c r="AD16" s="30">
        <f t="shared" si="2"/>
        <v>0</v>
      </c>
      <c r="AE16" s="30">
        <f t="shared" si="0"/>
        <v>0</v>
      </c>
      <c r="AF16" s="32">
        <f>IF(B16&lt;240,0.8,IF(B16=240,1,IF(B16&gt;240,4,"")))</f>
        <v>0.8</v>
      </c>
      <c r="AG16" s="30">
        <f t="shared" si="1"/>
        <v>0</v>
      </c>
    </row>
    <row r="17" spans="1:33" ht="12.75">
      <c r="A17" s="16"/>
      <c r="B17" s="37"/>
      <c r="C17" s="35"/>
      <c r="D17" s="35"/>
      <c r="E17" s="35"/>
      <c r="F17" s="245"/>
      <c r="G17" s="246"/>
      <c r="H17" s="245"/>
      <c r="I17" s="246"/>
      <c r="J17" s="245"/>
      <c r="K17" s="246"/>
      <c r="L17" s="36"/>
      <c r="M17" s="8"/>
      <c r="N17" s="123"/>
      <c r="O17" s="130"/>
      <c r="P17" s="130"/>
      <c r="Q17" s="131"/>
      <c r="R17" s="130"/>
      <c r="S17" s="149"/>
      <c r="T17" s="124"/>
      <c r="U17" s="124"/>
      <c r="V17" s="124"/>
      <c r="W17" s="124"/>
      <c r="X17" s="124"/>
      <c r="Y17" s="127"/>
      <c r="AD17" s="30">
        <f t="shared" si="2"/>
        <v>0</v>
      </c>
      <c r="AE17" s="30">
        <f t="shared" si="0"/>
        <v>0</v>
      </c>
      <c r="AF17" s="32">
        <f>IF(B17&lt;240,0.8,IF(B17=240,1,IF(B17&gt;240,4,"")))</f>
        <v>0.8</v>
      </c>
      <c r="AG17" s="30">
        <f t="shared" si="1"/>
        <v>0</v>
      </c>
    </row>
    <row r="18" spans="1:33" ht="12.75">
      <c r="A18" s="16"/>
      <c r="B18" s="7"/>
      <c r="C18" s="7"/>
      <c r="D18" s="7"/>
      <c r="E18" s="7"/>
      <c r="F18" s="7"/>
      <c r="G18" s="7"/>
      <c r="H18" s="7"/>
      <c r="I18" s="7"/>
      <c r="J18" s="7"/>
      <c r="K18" s="7"/>
      <c r="L18" s="7"/>
      <c r="M18" s="8"/>
      <c r="N18" s="123"/>
      <c r="O18" s="134" t="s">
        <v>113</v>
      </c>
      <c r="P18" s="124"/>
      <c r="Q18" s="146">
        <f>IF(OR(AD41=0,L35=""),"",AD41/L35)</f>
      </c>
      <c r="R18" s="124" t="s">
        <v>217</v>
      </c>
      <c r="S18" s="151">
        <f>IF(Q18="","",IF(OR(Q18&lt;100,Q18&gt;500),"=&gt; Wert erscheint nach erster Prüfung auffällig, bitte auf Plausibilität prüfen!",""))</f>
      </c>
      <c r="T18" s="124"/>
      <c r="U18" s="124"/>
      <c r="V18" s="124"/>
      <c r="W18" s="124"/>
      <c r="X18" s="124"/>
      <c r="Y18" s="127"/>
      <c r="AC18" s="3" t="s">
        <v>121</v>
      </c>
      <c r="AD18" s="31">
        <f>SUM(AD10:AD17)</f>
        <v>0</v>
      </c>
      <c r="AE18" s="31">
        <f>SUM(AE10:AE17)</f>
        <v>0</v>
      </c>
      <c r="AF18" s="31"/>
      <c r="AG18" s="31">
        <f>SUM(AG10:AG17)</f>
        <v>0</v>
      </c>
    </row>
    <row r="19" spans="1:29" ht="12.75">
      <c r="A19" s="6" t="s">
        <v>102</v>
      </c>
      <c r="B19" s="12" t="s">
        <v>426</v>
      </c>
      <c r="C19" s="7"/>
      <c r="D19" s="7"/>
      <c r="E19" s="7"/>
      <c r="F19" s="7"/>
      <c r="G19" s="7"/>
      <c r="H19" s="7"/>
      <c r="I19" s="7"/>
      <c r="J19" s="7"/>
      <c r="K19" s="7"/>
      <c r="L19" s="7"/>
      <c r="M19" s="8"/>
      <c r="N19" s="123"/>
      <c r="O19" s="134"/>
      <c r="P19" s="124"/>
      <c r="Q19" s="129" t="str">
        <f>IF(AD41=0,"Kostenangabe fehlt!","")</f>
        <v>Kostenangabe fehlt!</v>
      </c>
      <c r="R19" s="124"/>
      <c r="S19" s="126" t="str">
        <f>IF(L35="","Mengenangabe fehlt!","")</f>
        <v>Mengenangabe fehlt!</v>
      </c>
      <c r="T19" s="124"/>
      <c r="U19" s="124"/>
      <c r="V19" s="124"/>
      <c r="W19" s="124"/>
      <c r="X19" s="124"/>
      <c r="Y19" s="127"/>
      <c r="AC19" s="3"/>
    </row>
    <row r="20" spans="1:29" ht="38.25">
      <c r="A20" s="16"/>
      <c r="B20" s="22" t="s">
        <v>71</v>
      </c>
      <c r="C20" s="23" t="s">
        <v>427</v>
      </c>
      <c r="D20" s="24"/>
      <c r="E20" s="24"/>
      <c r="F20" s="24"/>
      <c r="G20" s="24"/>
      <c r="H20" s="24"/>
      <c r="I20" s="24"/>
      <c r="J20" s="24"/>
      <c r="K20" s="25"/>
      <c r="L20" s="22" t="s">
        <v>109</v>
      </c>
      <c r="M20" s="8"/>
      <c r="N20" s="123"/>
      <c r="O20" s="130"/>
      <c r="P20" s="130"/>
      <c r="Q20" s="131"/>
      <c r="R20" s="130"/>
      <c r="S20" s="149"/>
      <c r="T20" s="124"/>
      <c r="U20" s="124"/>
      <c r="V20" s="124"/>
      <c r="W20" s="124"/>
      <c r="X20" s="124"/>
      <c r="Y20" s="127"/>
      <c r="AC20" s="3"/>
    </row>
    <row r="21" spans="1:29" ht="12.75">
      <c r="A21" s="16"/>
      <c r="B21" s="26"/>
      <c r="C21" s="14" t="s">
        <v>422</v>
      </c>
      <c r="D21" s="14" t="s">
        <v>423</v>
      </c>
      <c r="E21" s="14" t="s">
        <v>424</v>
      </c>
      <c r="F21" s="247" t="s">
        <v>425</v>
      </c>
      <c r="G21" s="248"/>
      <c r="H21" s="34"/>
      <c r="I21" s="14" t="s">
        <v>75</v>
      </c>
      <c r="J21" s="34"/>
      <c r="K21" s="14" t="s">
        <v>75</v>
      </c>
      <c r="L21" s="27"/>
      <c r="M21" s="8"/>
      <c r="N21" s="123"/>
      <c r="O21" s="134" t="s">
        <v>114</v>
      </c>
      <c r="P21" s="124"/>
      <c r="Q21" s="146">
        <f>IF(OR(AD41=0,Allgemeines!Q10=""),"",AD41/Allgemeines!Q10)</f>
      </c>
      <c r="R21" s="124" t="s">
        <v>224</v>
      </c>
      <c r="S21" s="151">
        <f>IF(Q21="","",IF(OR(Q21&lt;5,Q21&gt;100),"=&gt; Wert erscheint nach erster Prüfung auffällig, bitte auf Plausibilität prüfen!",""))</f>
      </c>
      <c r="T21" s="124"/>
      <c r="U21" s="124"/>
      <c r="V21" s="124"/>
      <c r="W21" s="124"/>
      <c r="X21" s="124"/>
      <c r="Y21" s="127"/>
      <c r="AC21" s="3"/>
    </row>
    <row r="22" spans="1:36" ht="12.75">
      <c r="A22" s="16"/>
      <c r="B22" s="28">
        <v>80</v>
      </c>
      <c r="C22" s="35"/>
      <c r="D22" s="35"/>
      <c r="E22" s="35"/>
      <c r="F22" s="245"/>
      <c r="G22" s="246"/>
      <c r="H22" s="245"/>
      <c r="I22" s="246"/>
      <c r="J22" s="245"/>
      <c r="K22" s="246"/>
      <c r="L22" s="36"/>
      <c r="M22" s="8"/>
      <c r="N22" s="123"/>
      <c r="O22" s="124"/>
      <c r="P22" s="124"/>
      <c r="Q22" s="129" t="str">
        <f>IF(AD41=0,"Kostenangabe fehlt!","")</f>
        <v>Kostenangabe fehlt!</v>
      </c>
      <c r="R22" s="124"/>
      <c r="S22" s="126" t="str">
        <f>IF(Allgemeines!Q10="","Angaben zu den Einwohnern fehlen!","")</f>
        <v>Angaben zu den Einwohnern fehlen!</v>
      </c>
      <c r="T22" s="124"/>
      <c r="U22" s="124"/>
      <c r="V22" s="124"/>
      <c r="W22" s="124"/>
      <c r="X22" s="124"/>
      <c r="Y22" s="127"/>
      <c r="AC22" s="3"/>
      <c r="AD22" s="30">
        <f>((C22*52)+(D22*26)+(E22*13)+(F22*(52/6))+(H22*$H$21)+(J22*$J$21))</f>
        <v>0</v>
      </c>
      <c r="AE22" s="30">
        <f>AD22*B22</f>
        <v>0</v>
      </c>
      <c r="AF22" s="32">
        <v>1.36</v>
      </c>
      <c r="AG22" s="30">
        <f aca="true" t="shared" si="3" ref="AG22:AG29">AD22*AF22</f>
        <v>0</v>
      </c>
      <c r="AJ22" s="32"/>
    </row>
    <row r="23" spans="1:36" ht="12.75">
      <c r="A23" s="16"/>
      <c r="B23" s="28">
        <v>120</v>
      </c>
      <c r="C23" s="35"/>
      <c r="D23" s="35"/>
      <c r="E23" s="35"/>
      <c r="F23" s="245"/>
      <c r="G23" s="246"/>
      <c r="H23" s="245"/>
      <c r="I23" s="246"/>
      <c r="J23" s="245"/>
      <c r="K23" s="246"/>
      <c r="L23" s="36"/>
      <c r="M23" s="8"/>
      <c r="N23" s="123"/>
      <c r="O23" s="130"/>
      <c r="P23" s="130"/>
      <c r="Q23" s="131"/>
      <c r="R23" s="130"/>
      <c r="S23" s="149"/>
      <c r="T23" s="124"/>
      <c r="U23" s="124"/>
      <c r="V23" s="124"/>
      <c r="W23" s="124"/>
      <c r="X23" s="124"/>
      <c r="Y23" s="127"/>
      <c r="AC23" s="3"/>
      <c r="AD23" s="30">
        <f aca="true" t="shared" si="4" ref="AD23:AD29">((C23*52)+(D23*26)+(E23*13)+(F23*(52/6))+(H23*$H$21)+(J23*$J$21))</f>
        <v>0</v>
      </c>
      <c r="AE23" s="30">
        <f aca="true" t="shared" si="5" ref="AE23:AE29">AD23*B23</f>
        <v>0</v>
      </c>
      <c r="AF23" s="32">
        <v>1.36</v>
      </c>
      <c r="AG23" s="30">
        <f t="shared" si="3"/>
        <v>0</v>
      </c>
      <c r="AJ23" s="32"/>
    </row>
    <row r="24" spans="1:36" ht="12.75">
      <c r="A24" s="16"/>
      <c r="B24" s="28">
        <v>240</v>
      </c>
      <c r="C24" s="35"/>
      <c r="D24" s="35"/>
      <c r="E24" s="35"/>
      <c r="F24" s="245"/>
      <c r="G24" s="246"/>
      <c r="H24" s="245"/>
      <c r="I24" s="246"/>
      <c r="J24" s="245"/>
      <c r="K24" s="246"/>
      <c r="L24" s="36"/>
      <c r="M24" s="8"/>
      <c r="N24" s="123"/>
      <c r="O24" s="134" t="s">
        <v>219</v>
      </c>
      <c r="P24" s="124"/>
      <c r="Q24" s="146">
        <f>IF(OR(Restabfall!AG36=0,Restabfall!L38=""),"",Restabfall!L38/Restabfall!AG36)</f>
      </c>
      <c r="R24" s="124" t="s">
        <v>112</v>
      </c>
      <c r="S24" s="151">
        <f>IF(Q24="","",IF(OR(Q24&lt;0.2,Q24&gt;7),"=&gt; Wert erscheint nach erster Prüfung auffällig, bitte auf Plausibilität prüfen!",""))</f>
      </c>
      <c r="T24" s="124"/>
      <c r="U24" s="124"/>
      <c r="V24" s="124"/>
      <c r="W24" s="124"/>
      <c r="X24" s="124"/>
      <c r="Y24" s="127"/>
      <c r="AC24" s="3"/>
      <c r="AD24" s="30">
        <f t="shared" si="4"/>
        <v>0</v>
      </c>
      <c r="AE24" s="30">
        <f t="shared" si="5"/>
        <v>0</v>
      </c>
      <c r="AF24" s="32">
        <v>1.7</v>
      </c>
      <c r="AG24" s="30">
        <f t="shared" si="3"/>
        <v>0</v>
      </c>
      <c r="AJ24" s="32"/>
    </row>
    <row r="25" spans="1:36" ht="12.75">
      <c r="A25" s="16"/>
      <c r="B25" s="28">
        <v>770</v>
      </c>
      <c r="C25" s="35"/>
      <c r="D25" s="35"/>
      <c r="E25" s="35"/>
      <c r="F25" s="245"/>
      <c r="G25" s="246"/>
      <c r="H25" s="245"/>
      <c r="I25" s="246"/>
      <c r="J25" s="245"/>
      <c r="K25" s="246"/>
      <c r="L25" s="36"/>
      <c r="M25" s="8"/>
      <c r="N25" s="123"/>
      <c r="O25" s="124"/>
      <c r="P25" s="124"/>
      <c r="Q25" s="129" t="str">
        <f>IF(L38="","Kostenangabe fehlt!","")</f>
        <v>Kostenangabe fehlt!</v>
      </c>
      <c r="R25" s="124"/>
      <c r="S25" s="126" t="str">
        <f>IF(AE36=0,"Behälterangaben fehlen!","")</f>
        <v>Behälterangaben fehlen!</v>
      </c>
      <c r="T25" s="124"/>
      <c r="U25" s="124"/>
      <c r="V25" s="124"/>
      <c r="W25" s="124"/>
      <c r="X25" s="124"/>
      <c r="Y25" s="127"/>
      <c r="AC25" s="3"/>
      <c r="AD25" s="30">
        <f t="shared" si="4"/>
        <v>0</v>
      </c>
      <c r="AE25" s="30">
        <f t="shared" si="5"/>
        <v>0</v>
      </c>
      <c r="AF25" s="32">
        <v>4</v>
      </c>
      <c r="AG25" s="30">
        <f t="shared" si="3"/>
        <v>0</v>
      </c>
      <c r="AJ25" s="32"/>
    </row>
    <row r="26" spans="1:36" ht="12.75">
      <c r="A26" s="16"/>
      <c r="B26" s="28">
        <v>1100</v>
      </c>
      <c r="C26" s="35"/>
      <c r="D26" s="35"/>
      <c r="E26" s="35"/>
      <c r="F26" s="245"/>
      <c r="G26" s="246"/>
      <c r="H26" s="245"/>
      <c r="I26" s="246"/>
      <c r="J26" s="245"/>
      <c r="K26" s="246"/>
      <c r="L26" s="36"/>
      <c r="M26" s="8"/>
      <c r="N26" s="123"/>
      <c r="O26" s="124"/>
      <c r="P26" s="124"/>
      <c r="Q26" s="125"/>
      <c r="R26" s="124"/>
      <c r="S26" s="126"/>
      <c r="T26" s="124"/>
      <c r="U26" s="124"/>
      <c r="V26" s="124"/>
      <c r="W26" s="124"/>
      <c r="X26" s="124"/>
      <c r="Y26" s="127"/>
      <c r="AC26" s="3"/>
      <c r="AD26" s="30">
        <f t="shared" si="4"/>
        <v>0</v>
      </c>
      <c r="AE26" s="30">
        <f t="shared" si="5"/>
        <v>0</v>
      </c>
      <c r="AF26" s="32">
        <v>4</v>
      </c>
      <c r="AG26" s="30">
        <f t="shared" si="3"/>
        <v>0</v>
      </c>
      <c r="AJ26" s="32"/>
    </row>
    <row r="27" spans="1:36" ht="12.75">
      <c r="A27" s="16"/>
      <c r="B27" s="37"/>
      <c r="C27" s="35"/>
      <c r="D27" s="35"/>
      <c r="E27" s="35"/>
      <c r="F27" s="245"/>
      <c r="G27" s="246"/>
      <c r="H27" s="245"/>
      <c r="I27" s="246"/>
      <c r="J27" s="245"/>
      <c r="K27" s="246"/>
      <c r="L27" s="36"/>
      <c r="M27" s="8"/>
      <c r="N27" s="123"/>
      <c r="O27" s="124"/>
      <c r="P27" s="124"/>
      <c r="Q27" s="125"/>
      <c r="R27" s="124"/>
      <c r="S27" s="126"/>
      <c r="T27" s="124"/>
      <c r="U27" s="124"/>
      <c r="V27" s="124"/>
      <c r="W27" s="124"/>
      <c r="X27" s="124"/>
      <c r="Y27" s="127"/>
      <c r="AC27" s="3"/>
      <c r="AD27" s="30">
        <f t="shared" si="4"/>
        <v>0</v>
      </c>
      <c r="AE27" s="30">
        <f t="shared" si="5"/>
        <v>0</v>
      </c>
      <c r="AF27" s="32">
        <f>IF(B27&lt;240,1.36,IF(B27=240,1.7,IF(B27&gt;240,4,"")))</f>
        <v>1.36</v>
      </c>
      <c r="AG27" s="30">
        <f t="shared" si="3"/>
        <v>0</v>
      </c>
      <c r="AJ27" s="32"/>
    </row>
    <row r="28" spans="1:36" ht="12.75">
      <c r="A28" s="16"/>
      <c r="B28" s="37"/>
      <c r="C28" s="35"/>
      <c r="D28" s="35"/>
      <c r="E28" s="35"/>
      <c r="F28" s="245"/>
      <c r="G28" s="246"/>
      <c r="H28" s="245"/>
      <c r="I28" s="246"/>
      <c r="J28" s="245"/>
      <c r="K28" s="246"/>
      <c r="L28" s="36"/>
      <c r="M28" s="8"/>
      <c r="N28" s="123"/>
      <c r="O28" s="124"/>
      <c r="P28" s="124"/>
      <c r="Q28" s="125"/>
      <c r="R28" s="124"/>
      <c r="S28" s="126"/>
      <c r="T28" s="124"/>
      <c r="U28" s="124"/>
      <c r="V28" s="124"/>
      <c r="W28" s="124"/>
      <c r="X28" s="124"/>
      <c r="Y28" s="127"/>
      <c r="AC28" s="3"/>
      <c r="AD28" s="30">
        <f t="shared" si="4"/>
        <v>0</v>
      </c>
      <c r="AE28" s="30">
        <f t="shared" si="5"/>
        <v>0</v>
      </c>
      <c r="AF28" s="32">
        <f>IF(B28&lt;240,1.36,IF(B28=240,1.7,IF(B28&gt;240,4,"")))</f>
        <v>1.36</v>
      </c>
      <c r="AG28" s="30">
        <f t="shared" si="3"/>
        <v>0</v>
      </c>
      <c r="AJ28" s="32"/>
    </row>
    <row r="29" spans="1:36" ht="12.75">
      <c r="A29" s="16"/>
      <c r="B29" s="37"/>
      <c r="C29" s="35"/>
      <c r="D29" s="35"/>
      <c r="E29" s="35"/>
      <c r="F29" s="245"/>
      <c r="G29" s="246"/>
      <c r="H29" s="245"/>
      <c r="I29" s="246"/>
      <c r="J29" s="245"/>
      <c r="K29" s="246"/>
      <c r="L29" s="36"/>
      <c r="M29" s="8"/>
      <c r="N29" s="123"/>
      <c r="O29" s="124"/>
      <c r="P29" s="124"/>
      <c r="Q29" s="125"/>
      <c r="R29" s="124"/>
      <c r="S29" s="126"/>
      <c r="T29" s="124"/>
      <c r="U29" s="124"/>
      <c r="V29" s="124"/>
      <c r="W29" s="124"/>
      <c r="X29" s="124"/>
      <c r="Y29" s="127"/>
      <c r="AC29" s="3"/>
      <c r="AD29" s="30">
        <f t="shared" si="4"/>
        <v>0</v>
      </c>
      <c r="AE29" s="30">
        <f t="shared" si="5"/>
        <v>0</v>
      </c>
      <c r="AF29" s="32">
        <f>IF(B29&lt;240,1.36,IF(B29=240,1.7,IF(B29&gt;240,4,"")))</f>
        <v>1.36</v>
      </c>
      <c r="AG29" s="30">
        <f t="shared" si="3"/>
        <v>0</v>
      </c>
      <c r="AJ29" s="32"/>
    </row>
    <row r="30" spans="1:36" ht="12.75">
      <c r="A30" s="16"/>
      <c r="B30" s="7"/>
      <c r="C30" s="7"/>
      <c r="D30" s="7"/>
      <c r="E30" s="7"/>
      <c r="F30" s="7"/>
      <c r="G30" s="7"/>
      <c r="H30" s="7"/>
      <c r="I30" s="7"/>
      <c r="J30" s="7"/>
      <c r="K30" s="7"/>
      <c r="L30" s="7"/>
      <c r="M30" s="8"/>
      <c r="N30" s="123"/>
      <c r="O30" s="124"/>
      <c r="P30" s="124"/>
      <c r="Q30" s="125"/>
      <c r="R30" s="124"/>
      <c r="S30" s="126"/>
      <c r="T30" s="124"/>
      <c r="U30" s="124"/>
      <c r="V30" s="124"/>
      <c r="W30" s="124"/>
      <c r="X30" s="124"/>
      <c r="Y30" s="127"/>
      <c r="AC30" s="3" t="s">
        <v>120</v>
      </c>
      <c r="AD30" s="31">
        <f>SUM(AD22:AD29)</f>
        <v>0</v>
      </c>
      <c r="AE30" s="31">
        <f>SUM(AE22:AE29)</f>
        <v>0</v>
      </c>
      <c r="AF30" s="31"/>
      <c r="AG30" s="31">
        <f>SUM(AG22:AG29)</f>
        <v>0</v>
      </c>
      <c r="AJ30" s="31"/>
    </row>
    <row r="31" spans="1:36" ht="12.75">
      <c r="A31" s="6" t="s">
        <v>428</v>
      </c>
      <c r="B31" s="12" t="s">
        <v>431</v>
      </c>
      <c r="C31" s="7"/>
      <c r="D31" s="7"/>
      <c r="E31" s="7"/>
      <c r="F31" s="7"/>
      <c r="G31" s="7"/>
      <c r="H31" s="7"/>
      <c r="I31" s="7"/>
      <c r="J31" s="7"/>
      <c r="K31" s="7"/>
      <c r="L31" s="7"/>
      <c r="M31" s="8"/>
      <c r="N31" s="123"/>
      <c r="O31" s="124"/>
      <c r="P31" s="124"/>
      <c r="Q31" s="125"/>
      <c r="R31" s="124"/>
      <c r="S31" s="126"/>
      <c r="T31" s="124"/>
      <c r="U31" s="124"/>
      <c r="V31" s="124"/>
      <c r="W31" s="124"/>
      <c r="X31" s="124"/>
      <c r="Y31" s="127"/>
      <c r="AC31" s="3"/>
      <c r="AD31" s="31"/>
      <c r="AE31" s="31"/>
      <c r="AF31" s="31"/>
      <c r="AG31" s="31"/>
      <c r="AJ31" s="31"/>
    </row>
    <row r="32" spans="1:36" ht="12.75">
      <c r="A32" s="16"/>
      <c r="B32" s="37"/>
      <c r="C32" s="7" t="s">
        <v>429</v>
      </c>
      <c r="D32" s="7"/>
      <c r="E32" s="38"/>
      <c r="F32" s="7" t="s">
        <v>430</v>
      </c>
      <c r="G32" s="7"/>
      <c r="H32" s="7"/>
      <c r="I32" s="7"/>
      <c r="J32" s="7"/>
      <c r="K32" s="7"/>
      <c r="L32" s="7"/>
      <c r="M32" s="8"/>
      <c r="N32" s="123"/>
      <c r="O32" s="124"/>
      <c r="P32" s="124"/>
      <c r="Q32" s="125"/>
      <c r="R32" s="124"/>
      <c r="S32" s="126"/>
      <c r="T32" s="124"/>
      <c r="U32" s="124"/>
      <c r="V32" s="124"/>
      <c r="W32" s="124"/>
      <c r="X32" s="124"/>
      <c r="Y32" s="127"/>
      <c r="AC32" s="3"/>
      <c r="AD32" s="164">
        <f>E32</f>
        <v>0</v>
      </c>
      <c r="AE32" s="30">
        <f>AD32*B32</f>
        <v>0</v>
      </c>
      <c r="AF32" s="165">
        <v>0.5</v>
      </c>
      <c r="AG32" s="30">
        <f>AD32*AF32</f>
        <v>0</v>
      </c>
      <c r="AJ32" s="31"/>
    </row>
    <row r="33" spans="1:36" ht="12.75">
      <c r="A33" s="16"/>
      <c r="B33" s="37"/>
      <c r="C33" s="7" t="s">
        <v>429</v>
      </c>
      <c r="D33" s="7"/>
      <c r="E33" s="38"/>
      <c r="F33" s="7" t="s">
        <v>430</v>
      </c>
      <c r="G33" s="7"/>
      <c r="H33" s="7"/>
      <c r="I33" s="7"/>
      <c r="J33" s="7"/>
      <c r="K33" s="7"/>
      <c r="L33" s="7"/>
      <c r="M33" s="8"/>
      <c r="N33" s="123"/>
      <c r="O33" s="124"/>
      <c r="P33" s="124"/>
      <c r="Q33" s="125"/>
      <c r="R33" s="124"/>
      <c r="S33" s="126"/>
      <c r="T33" s="124"/>
      <c r="U33" s="124"/>
      <c r="V33" s="124"/>
      <c r="W33" s="124"/>
      <c r="X33" s="124"/>
      <c r="Y33" s="127"/>
      <c r="AC33" s="3"/>
      <c r="AD33" s="164">
        <f>E33</f>
        <v>0</v>
      </c>
      <c r="AE33" s="30">
        <f>AD33*B33</f>
        <v>0</v>
      </c>
      <c r="AF33" s="165">
        <v>0.5</v>
      </c>
      <c r="AG33" s="30">
        <f>AD33*AF33</f>
        <v>0</v>
      </c>
      <c r="AJ33" s="31"/>
    </row>
    <row r="34" spans="1:36" ht="11.25" customHeight="1">
      <c r="A34" s="16"/>
      <c r="B34" s="7"/>
      <c r="C34" s="7"/>
      <c r="D34" s="7"/>
      <c r="E34" s="7"/>
      <c r="F34" s="7"/>
      <c r="G34" s="7"/>
      <c r="H34" s="7"/>
      <c r="I34" s="7"/>
      <c r="J34" s="7"/>
      <c r="K34" s="7"/>
      <c r="L34" s="7"/>
      <c r="M34" s="8"/>
      <c r="N34" s="123"/>
      <c r="O34" s="124"/>
      <c r="P34" s="124"/>
      <c r="Q34" s="125"/>
      <c r="R34" s="124"/>
      <c r="S34" s="126"/>
      <c r="T34" s="124"/>
      <c r="U34" s="124"/>
      <c r="V34" s="124"/>
      <c r="W34" s="124"/>
      <c r="X34" s="124"/>
      <c r="Y34" s="127"/>
      <c r="AC34" s="3" t="s">
        <v>432</v>
      </c>
      <c r="AD34" s="31">
        <f>SUM(AD32:AD33)</f>
        <v>0</v>
      </c>
      <c r="AE34" s="31">
        <f>SUM(AE32:AE33)</f>
        <v>0</v>
      </c>
      <c r="AF34" s="31"/>
      <c r="AG34" s="31">
        <f>SUM(AG32:AG33)</f>
        <v>0</v>
      </c>
      <c r="AJ34" s="31"/>
    </row>
    <row r="35" spans="1:36" ht="15.75">
      <c r="A35" s="9" t="s">
        <v>103</v>
      </c>
      <c r="B35" s="10" t="s">
        <v>552</v>
      </c>
      <c r="C35" s="7"/>
      <c r="D35" s="7"/>
      <c r="E35" s="7"/>
      <c r="F35" s="7"/>
      <c r="G35" s="7"/>
      <c r="H35" s="7"/>
      <c r="I35" s="7"/>
      <c r="J35" s="7"/>
      <c r="K35" s="7"/>
      <c r="L35" s="38"/>
      <c r="M35" s="8" t="s">
        <v>242</v>
      </c>
      <c r="N35" s="123"/>
      <c r="O35" s="124"/>
      <c r="P35" s="124"/>
      <c r="Q35" s="125"/>
      <c r="R35" s="124"/>
      <c r="S35" s="126"/>
      <c r="T35" s="124"/>
      <c r="U35" s="124"/>
      <c r="V35" s="124"/>
      <c r="W35" s="124"/>
      <c r="X35" s="124"/>
      <c r="Y35" s="127"/>
      <c r="AJ35" s="31"/>
    </row>
    <row r="36" spans="1:33" ht="11.25" customHeight="1">
      <c r="A36" s="16"/>
      <c r="B36" s="7"/>
      <c r="C36" s="7"/>
      <c r="D36" s="7"/>
      <c r="E36" s="7"/>
      <c r="F36" s="7"/>
      <c r="G36" s="7"/>
      <c r="H36" s="7"/>
      <c r="I36" s="7"/>
      <c r="J36" s="7"/>
      <c r="K36" s="7"/>
      <c r="L36" s="7"/>
      <c r="M36" s="8"/>
      <c r="N36" s="123"/>
      <c r="O36" s="124"/>
      <c r="P36" s="124"/>
      <c r="Q36" s="125"/>
      <c r="R36" s="124"/>
      <c r="S36" s="126"/>
      <c r="T36" s="124"/>
      <c r="U36" s="124"/>
      <c r="V36" s="124"/>
      <c r="W36" s="124"/>
      <c r="X36" s="124"/>
      <c r="Y36" s="127"/>
      <c r="AC36" s="3" t="s">
        <v>122</v>
      </c>
      <c r="AD36" s="31">
        <f>AD18+AD30+AD34</f>
        <v>0</v>
      </c>
      <c r="AE36" s="31">
        <f>AE18+AE30+AE34</f>
        <v>0</v>
      </c>
      <c r="AF36" s="31"/>
      <c r="AG36" s="31">
        <f>AG18+AG30+AG34</f>
        <v>0</v>
      </c>
    </row>
    <row r="37" spans="1:25" ht="15.75">
      <c r="A37" s="9" t="s">
        <v>104</v>
      </c>
      <c r="B37" s="10" t="s">
        <v>553</v>
      </c>
      <c r="C37" s="7"/>
      <c r="D37" s="7"/>
      <c r="E37" s="7"/>
      <c r="F37" s="7"/>
      <c r="G37" s="7"/>
      <c r="H37" s="7"/>
      <c r="I37" s="7"/>
      <c r="J37" s="7"/>
      <c r="K37" s="7"/>
      <c r="L37" s="7"/>
      <c r="M37" s="8"/>
      <c r="N37" s="123"/>
      <c r="O37" s="124"/>
      <c r="P37" s="124"/>
      <c r="Q37" s="125"/>
      <c r="R37" s="124"/>
      <c r="S37" s="126"/>
      <c r="T37" s="124"/>
      <c r="U37" s="124"/>
      <c r="V37" s="124"/>
      <c r="W37" s="124"/>
      <c r="X37" s="124"/>
      <c r="Y37" s="127"/>
    </row>
    <row r="38" spans="1:25" ht="12.75">
      <c r="A38" s="6" t="s">
        <v>105</v>
      </c>
      <c r="B38" s="12" t="s">
        <v>511</v>
      </c>
      <c r="C38" s="7"/>
      <c r="D38" s="7"/>
      <c r="E38" s="7"/>
      <c r="F38" s="7"/>
      <c r="G38" s="7"/>
      <c r="H38" s="7"/>
      <c r="I38" s="7"/>
      <c r="J38" s="7"/>
      <c r="K38" s="8"/>
      <c r="L38" s="39"/>
      <c r="M38" s="8" t="s">
        <v>76</v>
      </c>
      <c r="N38" s="123"/>
      <c r="O38" s="124"/>
      <c r="P38" s="124"/>
      <c r="Q38" s="125"/>
      <c r="R38" s="124"/>
      <c r="S38" s="126"/>
      <c r="T38" s="124"/>
      <c r="U38" s="124"/>
      <c r="V38" s="124"/>
      <c r="W38" s="124"/>
      <c r="X38" s="124"/>
      <c r="Y38" s="127"/>
    </row>
    <row r="39" spans="1:25" ht="12.75">
      <c r="A39" s="6" t="s">
        <v>106</v>
      </c>
      <c r="B39" s="12" t="s">
        <v>512</v>
      </c>
      <c r="C39" s="7"/>
      <c r="D39" s="7"/>
      <c r="E39" s="7"/>
      <c r="F39" s="7"/>
      <c r="G39" s="7"/>
      <c r="H39" s="7"/>
      <c r="I39" s="7"/>
      <c r="J39" s="7"/>
      <c r="K39" s="8"/>
      <c r="L39" s="39"/>
      <c r="M39" s="8" t="s">
        <v>76</v>
      </c>
      <c r="N39" s="123"/>
      <c r="O39" s="124"/>
      <c r="P39" s="124"/>
      <c r="Q39" s="125"/>
      <c r="R39" s="124"/>
      <c r="S39" s="126"/>
      <c r="T39" s="124"/>
      <c r="U39" s="124"/>
      <c r="V39" s="124"/>
      <c r="W39" s="124"/>
      <c r="X39" s="124"/>
      <c r="Y39" s="127"/>
    </row>
    <row r="40" spans="1:25" ht="12.75">
      <c r="A40" s="6" t="s">
        <v>107</v>
      </c>
      <c r="B40" s="12" t="s">
        <v>514</v>
      </c>
      <c r="C40" s="7"/>
      <c r="D40" s="7"/>
      <c r="E40" s="7"/>
      <c r="F40" s="7"/>
      <c r="G40" s="7"/>
      <c r="H40" s="7"/>
      <c r="I40" s="7"/>
      <c r="J40" s="7"/>
      <c r="K40" s="8"/>
      <c r="L40" s="173">
        <f>IF(OR(L38="",L39=""),"",SUM(L38:L39))</f>
      </c>
      <c r="M40" s="8" t="s">
        <v>76</v>
      </c>
      <c r="N40" s="123"/>
      <c r="O40" s="124"/>
      <c r="P40" s="124"/>
      <c r="Q40" s="125"/>
      <c r="R40" s="124"/>
      <c r="S40" s="126"/>
      <c r="T40" s="124"/>
      <c r="U40" s="124"/>
      <c r="V40" s="124"/>
      <c r="W40" s="124"/>
      <c r="X40" s="124"/>
      <c r="Y40" s="127"/>
    </row>
    <row r="41" spans="1:30" ht="12.75">
      <c r="A41" s="11"/>
      <c r="B41" s="12" t="s">
        <v>513</v>
      </c>
      <c r="C41" s="7"/>
      <c r="D41" s="7"/>
      <c r="E41" s="7"/>
      <c r="F41" s="7"/>
      <c r="G41" s="7"/>
      <c r="H41" s="7"/>
      <c r="I41" s="7"/>
      <c r="J41" s="7"/>
      <c r="K41" s="7"/>
      <c r="L41" s="169"/>
      <c r="M41" s="8" t="s">
        <v>76</v>
      </c>
      <c r="N41" s="123"/>
      <c r="O41" s="124"/>
      <c r="P41" s="124"/>
      <c r="Q41" s="125"/>
      <c r="R41" s="124"/>
      <c r="S41" s="126"/>
      <c r="T41" s="124"/>
      <c r="U41" s="124"/>
      <c r="V41" s="124"/>
      <c r="W41" s="124"/>
      <c r="X41" s="124"/>
      <c r="Y41" s="127"/>
      <c r="AC41" s="172" t="s">
        <v>399</v>
      </c>
      <c r="AD41" s="171">
        <f>IF(L40="",L41,IF(L41="",L40,IF(AND(L40=0,L41=""),0,IF(AND(L40&gt;0,L41&gt;0),L40,0))))</f>
        <v>0</v>
      </c>
    </row>
    <row r="42" spans="1:25" ht="4.5" customHeight="1">
      <c r="A42" s="18"/>
      <c r="B42" s="170"/>
      <c r="C42" s="19"/>
      <c r="D42" s="19"/>
      <c r="E42" s="19"/>
      <c r="F42" s="19"/>
      <c r="G42" s="19"/>
      <c r="H42" s="19"/>
      <c r="I42" s="19"/>
      <c r="J42" s="19"/>
      <c r="K42" s="19"/>
      <c r="L42" s="19"/>
      <c r="M42" s="20"/>
      <c r="N42" s="140"/>
      <c r="O42" s="140"/>
      <c r="P42" s="140"/>
      <c r="Q42" s="141"/>
      <c r="R42" s="140"/>
      <c r="S42" s="142"/>
      <c r="T42" s="140"/>
      <c r="U42" s="140"/>
      <c r="V42" s="140"/>
      <c r="W42" s="140"/>
      <c r="X42" s="140"/>
      <c r="Y42" s="143"/>
    </row>
    <row r="43" ht="12.75"/>
    <row r="44" ht="12.75"/>
    <row r="45" ht="12.75"/>
    <row r="46" ht="12.75"/>
    <row r="47" ht="12.75"/>
  </sheetData>
  <sheetProtection password="CF5B" sheet="1" objects="1" scenarios="1" selectLockedCells="1"/>
  <mergeCells count="50">
    <mergeCell ref="F9:G9"/>
    <mergeCell ref="F21:G21"/>
    <mergeCell ref="F10:G10"/>
    <mergeCell ref="H10:I10"/>
    <mergeCell ref="H15:I15"/>
    <mergeCell ref="H16:I16"/>
    <mergeCell ref="H17:I17"/>
    <mergeCell ref="F12:G12"/>
    <mergeCell ref="F13:G13"/>
    <mergeCell ref="F14:G14"/>
    <mergeCell ref="J10:K10"/>
    <mergeCell ref="F11:G11"/>
    <mergeCell ref="J11:K11"/>
    <mergeCell ref="H11:I11"/>
    <mergeCell ref="F15:G15"/>
    <mergeCell ref="H12:I12"/>
    <mergeCell ref="H13:I13"/>
    <mergeCell ref="H14:I14"/>
    <mergeCell ref="J12:K12"/>
    <mergeCell ref="J13:K13"/>
    <mergeCell ref="J14:K14"/>
    <mergeCell ref="J15:K15"/>
    <mergeCell ref="J16:K16"/>
    <mergeCell ref="J17:K17"/>
    <mergeCell ref="F22:G22"/>
    <mergeCell ref="F23:G23"/>
    <mergeCell ref="J22:K22"/>
    <mergeCell ref="J23:K23"/>
    <mergeCell ref="F16:G16"/>
    <mergeCell ref="F17:G17"/>
    <mergeCell ref="F24:G24"/>
    <mergeCell ref="F25:G25"/>
    <mergeCell ref="F26:G26"/>
    <mergeCell ref="F27:G27"/>
    <mergeCell ref="F28:G28"/>
    <mergeCell ref="F29:G29"/>
    <mergeCell ref="H22:I22"/>
    <mergeCell ref="H23:I23"/>
    <mergeCell ref="H24:I24"/>
    <mergeCell ref="H25:I25"/>
    <mergeCell ref="H26:I26"/>
    <mergeCell ref="H27:I27"/>
    <mergeCell ref="H28:I28"/>
    <mergeCell ref="H29:I29"/>
    <mergeCell ref="J28:K28"/>
    <mergeCell ref="J29:K29"/>
    <mergeCell ref="J24:K24"/>
    <mergeCell ref="J25:K25"/>
    <mergeCell ref="J26:K26"/>
    <mergeCell ref="J27:K27"/>
  </mergeCells>
  <dataValidations count="1">
    <dataValidation type="list" allowBlank="1" showInputMessage="1" showErrorMessage="1" sqref="L10:L17 L22:L29">
      <formula1>$AA$10:$AA$13</formula1>
    </dataValidation>
  </dataValidations>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AD43"/>
  <sheetViews>
    <sheetView showGridLines="0" workbookViewId="0" topLeftCell="A4">
      <selection activeCell="B7" sqref="B7"/>
    </sheetView>
  </sheetViews>
  <sheetFormatPr defaultColWidth="11.421875" defaultRowHeight="12.75"/>
  <cols>
    <col min="1" max="1" width="8.140625" style="2" customWidth="1"/>
    <col min="2" max="2" width="4.7109375" style="1" customWidth="1"/>
    <col min="3" max="3" width="10.8515625" style="1" customWidth="1"/>
    <col min="4" max="5" width="12.28125" style="1" customWidth="1"/>
    <col min="6" max="6" width="7.421875" style="1" customWidth="1"/>
    <col min="7" max="7" width="15.8515625" style="1" customWidth="1"/>
    <col min="8" max="8" width="5.28125" style="1" customWidth="1"/>
    <col min="9" max="9" width="8.28125" style="1" bestFit="1" customWidth="1"/>
    <col min="10" max="10" width="7.28125" style="1" customWidth="1"/>
    <col min="11" max="11" width="5.28125" style="1" customWidth="1"/>
    <col min="12" max="14" width="13.421875" style="1" customWidth="1"/>
    <col min="15" max="15" width="3.8515625" style="1" customWidth="1"/>
    <col min="16" max="16" width="4.00390625" style="1" customWidth="1"/>
    <col min="17" max="17" width="31.8515625" style="1" customWidth="1"/>
    <col min="18" max="18" width="7.00390625" style="1" customWidth="1"/>
    <col min="19" max="19" width="11.421875" style="3" customWidth="1"/>
    <col min="20" max="20" width="11.421875" style="1" customWidth="1"/>
    <col min="21" max="21" width="5.28125" style="33" customWidth="1"/>
    <col min="22" max="26" width="11.421875" style="1" customWidth="1"/>
    <col min="27" max="27" width="13.7109375" style="1" customWidth="1"/>
    <col min="28" max="28" width="11.421875" style="1" customWidth="1"/>
    <col min="29" max="30" width="0" style="1" hidden="1" customWidth="1"/>
    <col min="31" max="16384" width="11.421875" style="1" customWidth="1"/>
  </cols>
  <sheetData>
    <row r="1" spans="1:27" ht="15.75">
      <c r="A1" s="29" t="str">
        <f>Allgemeines!A1</f>
        <v>Steirischer Abfallspiegel - Datenerhebung</v>
      </c>
      <c r="B1" s="4"/>
      <c r="C1" s="4"/>
      <c r="D1" s="4"/>
      <c r="E1" s="4"/>
      <c r="F1" s="4"/>
      <c r="G1" s="4"/>
      <c r="H1" s="4"/>
      <c r="I1" s="4"/>
      <c r="J1" s="4"/>
      <c r="K1" s="4"/>
      <c r="L1" s="4"/>
      <c r="M1" s="4"/>
      <c r="N1" s="4"/>
      <c r="O1" s="5"/>
      <c r="P1" s="118" t="s">
        <v>379</v>
      </c>
      <c r="Q1" s="119"/>
      <c r="R1" s="119"/>
      <c r="S1" s="145"/>
      <c r="T1" s="119"/>
      <c r="U1" s="121"/>
      <c r="V1" s="119"/>
      <c r="W1" s="119"/>
      <c r="X1" s="119"/>
      <c r="Y1" s="119"/>
      <c r="Z1" s="119"/>
      <c r="AA1" s="122"/>
    </row>
    <row r="2" spans="1:27" ht="12.75">
      <c r="A2" s="6" t="s">
        <v>77</v>
      </c>
      <c r="B2" s="7"/>
      <c r="C2" s="7"/>
      <c r="D2" s="21">
        <f>IF(Allgemeines!F12="","Unter Allgemeines wurde kein Untersuchungsjahr ausgewählt!",Allgemeines!F12)</f>
        <v>2008</v>
      </c>
      <c r="E2" s="7"/>
      <c r="F2" s="7"/>
      <c r="G2" s="7"/>
      <c r="H2" s="7"/>
      <c r="I2" s="7"/>
      <c r="J2" s="7"/>
      <c r="K2" s="7"/>
      <c r="L2" s="7"/>
      <c r="M2" s="7"/>
      <c r="N2" s="7"/>
      <c r="O2" s="8"/>
      <c r="P2" s="123"/>
      <c r="Q2" s="124"/>
      <c r="R2" s="124"/>
      <c r="S2" s="125"/>
      <c r="T2" s="128"/>
      <c r="U2" s="129"/>
      <c r="V2" s="128"/>
      <c r="W2" s="124"/>
      <c r="X2" s="124"/>
      <c r="Y2" s="124"/>
      <c r="Z2" s="124"/>
      <c r="AA2" s="127"/>
    </row>
    <row r="3" spans="1:27" ht="12.75">
      <c r="A3" s="11"/>
      <c r="B3" s="7"/>
      <c r="C3" s="7"/>
      <c r="D3" s="7"/>
      <c r="E3" s="7"/>
      <c r="F3" s="7"/>
      <c r="G3" s="7"/>
      <c r="H3" s="7"/>
      <c r="I3" s="7"/>
      <c r="J3" s="7"/>
      <c r="K3" s="7"/>
      <c r="L3" s="7"/>
      <c r="M3" s="7"/>
      <c r="N3" s="7"/>
      <c r="O3" s="8"/>
      <c r="P3" s="123"/>
      <c r="Q3" s="134" t="s">
        <v>236</v>
      </c>
      <c r="R3" s="124"/>
      <c r="S3" s="146">
        <f>IF(OR(B8="",Allgemeines!Q10="",Sperrmüll!L8=""),"",Sperrmüll!L8/Allgemeines!Q10*1000)</f>
      </c>
      <c r="T3" s="128" t="s">
        <v>235</v>
      </c>
      <c r="U3" s="129"/>
      <c r="V3" s="136">
        <f>IF(S3="","",IF(OR(S3&lt;10,S3&gt;300),"=&gt; Wert erscheint nach erster Prüfung auffällig, bitte auf Plausibilität prüfen!",""))</f>
      </c>
      <c r="W3" s="124"/>
      <c r="X3" s="124"/>
      <c r="Y3" s="124"/>
      <c r="Z3" s="124"/>
      <c r="AA3" s="127"/>
    </row>
    <row r="4" spans="1:27" ht="15.75">
      <c r="A4" s="9" t="s">
        <v>128</v>
      </c>
      <c r="B4" s="10" t="s">
        <v>6</v>
      </c>
      <c r="C4" s="10"/>
      <c r="D4" s="7"/>
      <c r="E4" s="7"/>
      <c r="F4" s="7"/>
      <c r="G4" s="7"/>
      <c r="H4" s="7"/>
      <c r="I4" s="7"/>
      <c r="J4" s="7"/>
      <c r="K4" s="7"/>
      <c r="L4" s="7"/>
      <c r="M4" s="7"/>
      <c r="N4" s="7"/>
      <c r="O4" s="8"/>
      <c r="P4" s="123"/>
      <c r="Q4" s="153" t="s">
        <v>234</v>
      </c>
      <c r="R4" s="124"/>
      <c r="S4" s="154">
        <f>IF(B8="","",IF(AND(B8&gt;0,L8=""),"Angabe Adressen fehlt!",""))</f>
      </c>
      <c r="T4" s="128"/>
      <c r="U4" s="129" t="str">
        <f>IF(Allgemeines!Q10="","Angaben zu den Einwohnern fehlen!","")</f>
        <v>Angaben zu den Einwohnern fehlen!</v>
      </c>
      <c r="V4" s="128"/>
      <c r="W4" s="124"/>
      <c r="X4" s="124"/>
      <c r="Y4" s="124"/>
      <c r="Z4" s="124"/>
      <c r="AA4" s="127"/>
    </row>
    <row r="5" spans="1:27" ht="12.75">
      <c r="A5" s="16"/>
      <c r="B5" s="15" t="s">
        <v>572</v>
      </c>
      <c r="C5" s="7"/>
      <c r="D5" s="7"/>
      <c r="E5" s="7"/>
      <c r="F5" s="7"/>
      <c r="G5" s="7"/>
      <c r="H5" s="7"/>
      <c r="I5" s="7"/>
      <c r="J5" s="7"/>
      <c r="K5" s="7"/>
      <c r="L5" s="7"/>
      <c r="M5" s="7"/>
      <c r="N5" s="251">
        <f>Restabfall!M5+1</f>
        <v>3</v>
      </c>
      <c r="O5" s="252"/>
      <c r="P5" s="123"/>
      <c r="Q5" s="134"/>
      <c r="R5" s="124"/>
      <c r="S5" s="155"/>
      <c r="T5" s="128"/>
      <c r="U5" s="129"/>
      <c r="V5" s="128"/>
      <c r="W5" s="124"/>
      <c r="X5" s="124"/>
      <c r="Y5" s="124"/>
      <c r="Z5" s="124"/>
      <c r="AA5" s="127"/>
    </row>
    <row r="6" spans="1:27" ht="15.75">
      <c r="A6" s="9" t="s">
        <v>155</v>
      </c>
      <c r="B6" s="10" t="s">
        <v>573</v>
      </c>
      <c r="C6" s="10"/>
      <c r="D6" s="7"/>
      <c r="E6" s="7"/>
      <c r="F6" s="7"/>
      <c r="G6" s="7"/>
      <c r="H6" s="7"/>
      <c r="I6" s="7"/>
      <c r="J6" s="7"/>
      <c r="K6" s="7"/>
      <c r="L6" s="7"/>
      <c r="M6" s="7"/>
      <c r="N6" s="7"/>
      <c r="O6" s="8"/>
      <c r="P6" s="123"/>
      <c r="Q6" s="134" t="s">
        <v>241</v>
      </c>
      <c r="R6" s="124"/>
      <c r="S6" s="146">
        <f>IF(OR(L17="",Allgemeines!Q10=""),"",Sperrmüll!L17*1000/Allgemeines!Q10)</f>
      </c>
      <c r="T6" s="128" t="s">
        <v>223</v>
      </c>
      <c r="U6" s="137"/>
      <c r="V6" s="137">
        <f>IF(S6="","",IF(OR(S6&lt;0.1,S6&gt;50),"=&gt; Wert erscheint nach erster Prüfung auffällig, bitte auf Plausibilität prüfen!",""))</f>
      </c>
      <c r="W6" s="124"/>
      <c r="X6" s="124"/>
      <c r="Y6" s="124"/>
      <c r="Z6" s="124"/>
      <c r="AA6" s="127"/>
    </row>
    <row r="7" spans="1:27" ht="12.75" customHeight="1">
      <c r="A7" s="6" t="s">
        <v>158</v>
      </c>
      <c r="B7" s="34"/>
      <c r="C7" s="12" t="s">
        <v>521</v>
      </c>
      <c r="D7" s="7"/>
      <c r="E7" s="7"/>
      <c r="F7" s="7"/>
      <c r="G7" s="7"/>
      <c r="H7" s="7"/>
      <c r="I7" s="7"/>
      <c r="J7" s="7"/>
      <c r="K7" s="7"/>
      <c r="L7" s="7"/>
      <c r="M7" s="7"/>
      <c r="N7" s="7"/>
      <c r="O7" s="8"/>
      <c r="P7" s="123"/>
      <c r="Q7" s="153" t="s">
        <v>243</v>
      </c>
      <c r="R7" s="124"/>
      <c r="S7" s="129" t="str">
        <f>IF(L17="","Mengenangabe fehlt!","")</f>
        <v>Mengenangabe fehlt!</v>
      </c>
      <c r="T7" s="128"/>
      <c r="U7" s="138" t="str">
        <f>IF(Allgemeines!Q10="","Angaben zu den Einwohnern fehlen!","")</f>
        <v>Angaben zu den Einwohnern fehlen!</v>
      </c>
      <c r="V7" s="128"/>
      <c r="W7" s="124"/>
      <c r="X7" s="124"/>
      <c r="Y7" s="124"/>
      <c r="Z7" s="124"/>
      <c r="AA7" s="127"/>
    </row>
    <row r="8" spans="1:27" ht="12.75" customHeight="1">
      <c r="A8" s="6" t="s">
        <v>159</v>
      </c>
      <c r="B8" s="34"/>
      <c r="C8" s="13" t="s">
        <v>518</v>
      </c>
      <c r="D8" s="7"/>
      <c r="E8" s="7"/>
      <c r="F8" s="7"/>
      <c r="G8" s="7"/>
      <c r="H8" s="7"/>
      <c r="I8" s="7"/>
      <c r="J8" s="7"/>
      <c r="K8" s="17" t="s">
        <v>230</v>
      </c>
      <c r="L8" s="74"/>
      <c r="M8" s="7" t="s">
        <v>157</v>
      </c>
      <c r="N8" s="7"/>
      <c r="O8" s="8"/>
      <c r="P8" s="123"/>
      <c r="Q8" s="134" t="s">
        <v>244</v>
      </c>
      <c r="R8" s="124"/>
      <c r="S8" s="146">
        <f>IF(OR(L18="",Allgemeines!Q10=""),"",L18*1000/Allgemeines!Q10)</f>
      </c>
      <c r="T8" s="128" t="s">
        <v>223</v>
      </c>
      <c r="U8" s="137"/>
      <c r="V8" s="137">
        <f>IF(S8="","",IF(OR(S8&lt;0.1,S8&gt;50),"=&gt; Wert erscheint nach erster Prüfung auffällig, bitte auf Plausibilität prüfen!",""))</f>
      </c>
      <c r="W8" s="124"/>
      <c r="X8" s="124"/>
      <c r="Y8" s="124"/>
      <c r="Z8" s="124"/>
      <c r="AA8" s="127"/>
    </row>
    <row r="9" spans="1:27" ht="12.75" customHeight="1">
      <c r="A9" s="6" t="s">
        <v>160</v>
      </c>
      <c r="B9" s="34"/>
      <c r="C9" s="13" t="s">
        <v>519</v>
      </c>
      <c r="D9" s="7"/>
      <c r="E9" s="7"/>
      <c r="F9" s="7"/>
      <c r="G9" s="7"/>
      <c r="H9" s="7"/>
      <c r="I9" s="7"/>
      <c r="J9" s="7"/>
      <c r="K9" s="17" t="s">
        <v>229</v>
      </c>
      <c r="L9" s="74"/>
      <c r="M9" s="7" t="s">
        <v>162</v>
      </c>
      <c r="N9" s="7"/>
      <c r="O9" s="8"/>
      <c r="P9" s="123"/>
      <c r="Q9" s="153" t="s">
        <v>243</v>
      </c>
      <c r="R9" s="124"/>
      <c r="S9" s="129" t="str">
        <f>IF(L18="","Mengenangabe fehlt!","")</f>
        <v>Mengenangabe fehlt!</v>
      </c>
      <c r="T9" s="128"/>
      <c r="U9" s="138" t="str">
        <f>IF(Allgemeines!Q10="","Angaben zu den Einwohnern fehlen!","")</f>
        <v>Angaben zu den Einwohnern fehlen!</v>
      </c>
      <c r="V9" s="128"/>
      <c r="W9" s="124"/>
      <c r="X9" s="124"/>
      <c r="Y9" s="124"/>
      <c r="Z9" s="124"/>
      <c r="AA9" s="127"/>
    </row>
    <row r="10" spans="1:27" ht="12.75" customHeight="1">
      <c r="A10" s="6" t="s">
        <v>161</v>
      </c>
      <c r="B10" s="34"/>
      <c r="C10" s="13" t="s">
        <v>540</v>
      </c>
      <c r="D10" s="7"/>
      <c r="E10" s="7"/>
      <c r="F10" s="7"/>
      <c r="G10" s="7"/>
      <c r="H10" s="7"/>
      <c r="I10" s="7"/>
      <c r="J10" s="7"/>
      <c r="K10" s="17" t="s">
        <v>232</v>
      </c>
      <c r="L10" s="74"/>
      <c r="M10" s="7" t="s">
        <v>162</v>
      </c>
      <c r="N10" s="7"/>
      <c r="O10" s="8"/>
      <c r="P10" s="123"/>
      <c r="Q10" s="130"/>
      <c r="R10" s="130"/>
      <c r="S10" s="131"/>
      <c r="T10" s="132"/>
      <c r="U10" s="133"/>
      <c r="V10" s="132"/>
      <c r="W10" s="124"/>
      <c r="X10" s="124"/>
      <c r="Y10" s="124"/>
      <c r="Z10" s="124"/>
      <c r="AA10" s="127"/>
    </row>
    <row r="11" spans="1:27" ht="12.75" customHeight="1">
      <c r="A11" s="6"/>
      <c r="B11" s="66"/>
      <c r="C11" s="13"/>
      <c r="D11" s="7"/>
      <c r="E11" s="7"/>
      <c r="F11" s="7"/>
      <c r="G11" s="7"/>
      <c r="H11" s="7"/>
      <c r="I11" s="7"/>
      <c r="J11" s="7"/>
      <c r="K11" s="17" t="s">
        <v>231</v>
      </c>
      <c r="L11" s="74"/>
      <c r="M11" s="7" t="s">
        <v>164</v>
      </c>
      <c r="N11" s="7"/>
      <c r="O11" s="8"/>
      <c r="P11" s="123"/>
      <c r="Q11" s="134" t="s">
        <v>218</v>
      </c>
      <c r="R11" s="124"/>
      <c r="S11" s="146">
        <f>IF(OR(SUM(L17:L18)=0,L21=""),"",L21/SUM(L17:L18))</f>
      </c>
      <c r="T11" s="128" t="s">
        <v>217</v>
      </c>
      <c r="U11" s="133"/>
      <c r="V11" s="137">
        <f>IF(S11="","",IF(OR(S11&lt;25,S11&gt;200),"=&gt; Wert erscheint nach erster Prüfung auffällig, bitte auf Plausibilität prüfen!",""))</f>
      </c>
      <c r="W11" s="124"/>
      <c r="X11" s="124"/>
      <c r="Y11" s="124"/>
      <c r="Z11" s="124"/>
      <c r="AA11" s="127"/>
    </row>
    <row r="12" spans="1:27" ht="12.75" customHeight="1">
      <c r="A12" s="6" t="s">
        <v>168</v>
      </c>
      <c r="B12" s="34"/>
      <c r="C12" s="13" t="s">
        <v>163</v>
      </c>
      <c r="D12" s="7"/>
      <c r="E12" s="7"/>
      <c r="F12" s="7"/>
      <c r="G12" s="238"/>
      <c r="H12" s="249"/>
      <c r="I12" s="249"/>
      <c r="J12" s="249"/>
      <c r="K12" s="249"/>
      <c r="L12" s="249"/>
      <c r="M12" s="249"/>
      <c r="N12" s="250"/>
      <c r="O12" s="8"/>
      <c r="P12" s="123"/>
      <c r="Q12" s="153" t="s">
        <v>245</v>
      </c>
      <c r="R12" s="124"/>
      <c r="S12" s="129" t="str">
        <f>IF(L21="","Kostenangabe fehlt!","")</f>
        <v>Kostenangabe fehlt!</v>
      </c>
      <c r="T12" s="128"/>
      <c r="U12" s="129" t="str">
        <f>IF(SUM(L17:L18)=0,"Mengenangabe fehlt!","")</f>
        <v>Mengenangabe fehlt!</v>
      </c>
      <c r="V12" s="132"/>
      <c r="W12" s="124"/>
      <c r="X12" s="124"/>
      <c r="Y12" s="124"/>
      <c r="Z12" s="124"/>
      <c r="AA12" s="127"/>
    </row>
    <row r="13" spans="1:27" ht="12.75" customHeight="1">
      <c r="A13" s="16"/>
      <c r="B13" s="13"/>
      <c r="C13" s="13"/>
      <c r="D13" s="7"/>
      <c r="E13" s="7"/>
      <c r="F13" s="7"/>
      <c r="G13" s="7"/>
      <c r="H13" s="7"/>
      <c r="I13" s="7"/>
      <c r="J13" s="7"/>
      <c r="K13" s="7"/>
      <c r="L13" s="7"/>
      <c r="M13" s="7"/>
      <c r="N13" s="7"/>
      <c r="O13" s="8"/>
      <c r="P13" s="123"/>
      <c r="Q13" s="134"/>
      <c r="R13" s="124"/>
      <c r="S13" s="155"/>
      <c r="T13" s="128"/>
      <c r="U13" s="133"/>
      <c r="V13" s="136"/>
      <c r="W13" s="124"/>
      <c r="X13" s="124"/>
      <c r="Y13" s="124"/>
      <c r="Z13" s="124"/>
      <c r="AA13" s="127"/>
    </row>
    <row r="14" spans="1:27" ht="12.75" customHeight="1">
      <c r="A14" s="6" t="s">
        <v>237</v>
      </c>
      <c r="B14" s="13" t="s">
        <v>240</v>
      </c>
      <c r="C14" s="13"/>
      <c r="D14" s="7"/>
      <c r="E14" s="7"/>
      <c r="F14" s="7"/>
      <c r="G14" s="7"/>
      <c r="H14" s="34"/>
      <c r="I14" s="7" t="s">
        <v>238</v>
      </c>
      <c r="J14" s="7"/>
      <c r="K14" s="34"/>
      <c r="L14" s="7" t="s">
        <v>239</v>
      </c>
      <c r="M14" s="7"/>
      <c r="N14" s="7"/>
      <c r="O14" s="8"/>
      <c r="P14" s="123"/>
      <c r="Q14" s="134" t="s">
        <v>111</v>
      </c>
      <c r="R14" s="124"/>
      <c r="S14" s="146">
        <f>IF(OR(SUM(L17:L18)=0,L22=""),"",L22/SUM(L17:L18))</f>
      </c>
      <c r="T14" s="128" t="s">
        <v>217</v>
      </c>
      <c r="U14" s="133"/>
      <c r="V14" s="137">
        <f>IF(S14="","",IF(OR(S14&lt;80,S14&gt;400),"=&gt; Wert erscheint nach erster Prüfung auffällig, bitte auf Plausibilität prüfen!",""))</f>
      </c>
      <c r="W14" s="124"/>
      <c r="X14" s="124"/>
      <c r="Y14" s="124"/>
      <c r="Z14" s="124"/>
      <c r="AA14" s="127"/>
    </row>
    <row r="15" spans="1:27" ht="12.75" customHeight="1">
      <c r="A15" s="16"/>
      <c r="B15" s="13"/>
      <c r="C15" s="13"/>
      <c r="D15" s="7"/>
      <c r="E15" s="7"/>
      <c r="F15" s="7"/>
      <c r="G15" s="7"/>
      <c r="H15" s="7"/>
      <c r="I15" s="7"/>
      <c r="J15" s="7"/>
      <c r="K15" s="7"/>
      <c r="L15" s="7"/>
      <c r="M15" s="7"/>
      <c r="N15" s="7"/>
      <c r="O15" s="8"/>
      <c r="P15" s="123"/>
      <c r="Q15" s="153" t="s">
        <v>245</v>
      </c>
      <c r="R15" s="124"/>
      <c r="S15" s="129" t="str">
        <f>IF(L22="","Kostenangabe fehlt!","")</f>
        <v>Kostenangabe fehlt!</v>
      </c>
      <c r="T15" s="128"/>
      <c r="U15" s="129" t="str">
        <f>IF(SUM(L17:L18)=0,"Mengenangabe fehlt!","")</f>
        <v>Mengenangabe fehlt!</v>
      </c>
      <c r="V15" s="132"/>
      <c r="W15" s="124"/>
      <c r="X15" s="124"/>
      <c r="Y15" s="124"/>
      <c r="Z15" s="124"/>
      <c r="AA15" s="127"/>
    </row>
    <row r="16" spans="1:27" ht="15.75">
      <c r="A16" s="9" t="s">
        <v>156</v>
      </c>
      <c r="B16" s="10" t="s">
        <v>574</v>
      </c>
      <c r="C16" s="10"/>
      <c r="D16" s="7"/>
      <c r="E16" s="7"/>
      <c r="F16" s="7"/>
      <c r="G16" s="7"/>
      <c r="H16" s="7"/>
      <c r="I16" s="7"/>
      <c r="J16" s="7"/>
      <c r="K16" s="7"/>
      <c r="L16" s="7"/>
      <c r="M16" s="7"/>
      <c r="N16" s="7"/>
      <c r="O16" s="8"/>
      <c r="P16" s="123"/>
      <c r="Q16" s="130"/>
      <c r="R16" s="130"/>
      <c r="S16" s="131"/>
      <c r="T16" s="132"/>
      <c r="U16" s="133"/>
      <c r="V16" s="133"/>
      <c r="W16" s="124"/>
      <c r="X16" s="124"/>
      <c r="Y16" s="124"/>
      <c r="Z16" s="124"/>
      <c r="AA16" s="127"/>
    </row>
    <row r="17" spans="1:27" ht="12.75">
      <c r="A17" s="6" t="s">
        <v>166</v>
      </c>
      <c r="B17" s="12" t="s">
        <v>17</v>
      </c>
      <c r="C17" s="12"/>
      <c r="D17" s="7"/>
      <c r="E17" s="7"/>
      <c r="F17" s="7"/>
      <c r="G17" s="7"/>
      <c r="H17" s="7"/>
      <c r="I17" s="7"/>
      <c r="J17" s="7"/>
      <c r="K17" s="8"/>
      <c r="L17" s="38"/>
      <c r="M17" s="7" t="s">
        <v>242</v>
      </c>
      <c r="N17" s="7"/>
      <c r="O17" s="8"/>
      <c r="P17" s="123"/>
      <c r="Q17" s="134" t="s">
        <v>113</v>
      </c>
      <c r="R17" s="124"/>
      <c r="S17" s="146">
        <f>IF(OR(SUM(L17:L18)=0,AD24=0),"",AD24/SUM(L17:L18))</f>
      </c>
      <c r="T17" s="128" t="s">
        <v>217</v>
      </c>
      <c r="U17" s="133"/>
      <c r="V17" s="137">
        <f>IF(S17="","",IF(OR(S17&lt;100,S17&gt;500),"=&gt; Wert erscheint nach erster Prüfung auffällig, bitte auf Plausibilität prüfen!",""))</f>
      </c>
      <c r="W17" s="124"/>
      <c r="X17" s="124"/>
      <c r="Y17" s="124"/>
      <c r="Z17" s="124"/>
      <c r="AA17" s="127"/>
    </row>
    <row r="18" spans="1:27" ht="12.75">
      <c r="A18" s="6" t="s">
        <v>167</v>
      </c>
      <c r="B18" s="12" t="s">
        <v>233</v>
      </c>
      <c r="C18" s="12"/>
      <c r="D18" s="13"/>
      <c r="E18" s="13"/>
      <c r="F18" s="13"/>
      <c r="G18" s="13"/>
      <c r="H18" s="13"/>
      <c r="I18" s="13"/>
      <c r="J18" s="13"/>
      <c r="K18" s="65"/>
      <c r="L18" s="75"/>
      <c r="M18" s="7" t="s">
        <v>242</v>
      </c>
      <c r="N18" s="7"/>
      <c r="O18" s="8"/>
      <c r="P18" s="123"/>
      <c r="Q18" s="153" t="s">
        <v>439</v>
      </c>
      <c r="R18" s="124"/>
      <c r="S18" s="129" t="str">
        <f>IF(AD24=0,"Kostenangabe fehlt!","")</f>
        <v>Kostenangabe fehlt!</v>
      </c>
      <c r="T18" s="128"/>
      <c r="U18" s="129" t="str">
        <f>IF(SUM(L17:L18)=0,"Mengenangabe fehlt!","")</f>
        <v>Mengenangabe fehlt!</v>
      </c>
      <c r="V18" s="132"/>
      <c r="W18" s="124"/>
      <c r="X18" s="124"/>
      <c r="Y18" s="124"/>
      <c r="Z18" s="124"/>
      <c r="AA18" s="127"/>
    </row>
    <row r="19" spans="1:27" ht="12.75">
      <c r="A19" s="16"/>
      <c r="B19" s="7"/>
      <c r="C19" s="7"/>
      <c r="D19" s="7"/>
      <c r="E19" s="7"/>
      <c r="F19" s="7"/>
      <c r="G19" s="7"/>
      <c r="H19" s="7"/>
      <c r="I19" s="7"/>
      <c r="J19" s="7"/>
      <c r="K19" s="7"/>
      <c r="L19" s="7"/>
      <c r="M19" s="7"/>
      <c r="N19" s="7"/>
      <c r="O19" s="8"/>
      <c r="P19" s="123"/>
      <c r="Q19" s="130"/>
      <c r="R19" s="130"/>
      <c r="S19" s="131"/>
      <c r="T19" s="132"/>
      <c r="U19" s="133"/>
      <c r="V19" s="133"/>
      <c r="W19" s="124"/>
      <c r="X19" s="124"/>
      <c r="Y19" s="124"/>
      <c r="Z19" s="124"/>
      <c r="AA19" s="127"/>
    </row>
    <row r="20" spans="1:27" ht="15.75">
      <c r="A20" s="9" t="s">
        <v>165</v>
      </c>
      <c r="B20" s="10" t="s">
        <v>520</v>
      </c>
      <c r="C20" s="10"/>
      <c r="D20" s="7"/>
      <c r="E20" s="7"/>
      <c r="F20" s="7"/>
      <c r="G20" s="7"/>
      <c r="H20" s="7"/>
      <c r="I20" s="7"/>
      <c r="J20" s="7"/>
      <c r="K20" s="7"/>
      <c r="L20" s="7"/>
      <c r="M20" s="7"/>
      <c r="N20" s="7"/>
      <c r="O20" s="8"/>
      <c r="P20" s="123"/>
      <c r="Q20" s="134" t="s">
        <v>114</v>
      </c>
      <c r="R20" s="124"/>
      <c r="S20" s="146">
        <f>IF(OR(AD24=0,Allgemeines!Q10=""),"",AD24/Allgemeines!Q10)</f>
      </c>
      <c r="T20" s="128" t="s">
        <v>224</v>
      </c>
      <c r="U20" s="133"/>
      <c r="V20" s="137">
        <f>IF(S20="","",IF(OR(S20&lt;2,S20&gt;50),"=&gt; Wert erscheint nach erster Prüfung auffällig, bitte auf Plausibilität prüfen!",""))</f>
      </c>
      <c r="W20" s="124"/>
      <c r="X20" s="124"/>
      <c r="Y20" s="124"/>
      <c r="Z20" s="124"/>
      <c r="AA20" s="127"/>
    </row>
    <row r="21" spans="1:27" ht="12.75">
      <c r="A21" s="6" t="s">
        <v>436</v>
      </c>
      <c r="B21" s="12" t="s">
        <v>515</v>
      </c>
      <c r="C21" s="12"/>
      <c r="D21" s="7"/>
      <c r="E21" s="7"/>
      <c r="F21" s="7"/>
      <c r="G21" s="7"/>
      <c r="H21" s="7"/>
      <c r="I21" s="7"/>
      <c r="J21" s="7"/>
      <c r="K21" s="8"/>
      <c r="L21" s="39"/>
      <c r="M21" s="7" t="s">
        <v>76</v>
      </c>
      <c r="N21" s="7"/>
      <c r="O21" s="8"/>
      <c r="P21" s="123"/>
      <c r="Q21" s="153" t="s">
        <v>439</v>
      </c>
      <c r="R21" s="124"/>
      <c r="S21" s="129" t="str">
        <f>IF(AD24=0,"Kostenangabe fehlt!","")</f>
        <v>Kostenangabe fehlt!</v>
      </c>
      <c r="T21" s="128"/>
      <c r="U21" s="129" t="str">
        <f>IF(Allgemeines!Q10="","Angaben zu den Einwohnern fehlen!","")</f>
        <v>Angaben zu den Einwohnern fehlen!</v>
      </c>
      <c r="V21" s="132"/>
      <c r="W21" s="124"/>
      <c r="X21" s="124"/>
      <c r="Y21" s="124"/>
      <c r="Z21" s="124"/>
      <c r="AA21" s="127"/>
    </row>
    <row r="22" spans="1:27" ht="12.75">
      <c r="A22" s="6" t="s">
        <v>437</v>
      </c>
      <c r="B22" s="12" t="s">
        <v>516</v>
      </c>
      <c r="C22" s="12"/>
      <c r="D22" s="7"/>
      <c r="E22" s="7"/>
      <c r="F22" s="7"/>
      <c r="G22" s="7"/>
      <c r="H22" s="7"/>
      <c r="I22" s="7"/>
      <c r="J22" s="7"/>
      <c r="K22" s="8"/>
      <c r="L22" s="39"/>
      <c r="M22" s="7" t="s">
        <v>76</v>
      </c>
      <c r="N22" s="7"/>
      <c r="O22" s="8"/>
      <c r="P22" s="123"/>
      <c r="Q22" s="130"/>
      <c r="R22" s="130"/>
      <c r="S22" s="131"/>
      <c r="T22" s="132"/>
      <c r="U22" s="133"/>
      <c r="V22" s="133"/>
      <c r="W22" s="124"/>
      <c r="X22" s="124"/>
      <c r="Y22" s="124"/>
      <c r="Z22" s="124"/>
      <c r="AA22" s="127"/>
    </row>
    <row r="23" spans="1:27" ht="12.75">
      <c r="A23" s="6" t="s">
        <v>438</v>
      </c>
      <c r="B23" s="12" t="s">
        <v>517</v>
      </c>
      <c r="C23" s="12"/>
      <c r="D23" s="7"/>
      <c r="E23" s="7"/>
      <c r="F23" s="7"/>
      <c r="G23" s="7"/>
      <c r="H23" s="7"/>
      <c r="I23" s="7"/>
      <c r="J23" s="7"/>
      <c r="K23" s="8"/>
      <c r="L23" s="173">
        <f>IF(OR(L21="",L22=""),"",SUM(L21:L22))</f>
      </c>
      <c r="M23" s="7" t="s">
        <v>76</v>
      </c>
      <c r="N23" s="7"/>
      <c r="O23" s="8"/>
      <c r="P23" s="123"/>
      <c r="Q23" s="134" t="s">
        <v>246</v>
      </c>
      <c r="R23" s="124"/>
      <c r="S23" s="146">
        <f>IF(OR(B8="",L8="",L21=""),"",L21/L8)</f>
      </c>
      <c r="T23" s="128" t="s">
        <v>247</v>
      </c>
      <c r="U23" s="133"/>
      <c r="V23" s="137">
        <f>IF(S23="","",IF(OR(S23&lt;10,S23&gt;200),"=&gt; Wert erscheint nach erster Prüfung auffällig, bitte auf Plausibilität prüfen!",""))</f>
      </c>
      <c r="W23" s="124"/>
      <c r="X23" s="124"/>
      <c r="Y23" s="124"/>
      <c r="Z23" s="124"/>
      <c r="AA23" s="127"/>
    </row>
    <row r="24" spans="1:30" ht="12.75">
      <c r="A24" s="92"/>
      <c r="B24" s="12" t="s">
        <v>513</v>
      </c>
      <c r="C24" s="12"/>
      <c r="D24" s="7"/>
      <c r="E24" s="7"/>
      <c r="F24" s="7"/>
      <c r="G24" s="7"/>
      <c r="H24" s="7"/>
      <c r="I24" s="7"/>
      <c r="J24" s="7"/>
      <c r="K24" s="8"/>
      <c r="L24" s="39"/>
      <c r="M24" s="7" t="s">
        <v>76</v>
      </c>
      <c r="N24" s="7"/>
      <c r="O24" s="8"/>
      <c r="P24" s="123"/>
      <c r="Q24" s="153" t="s">
        <v>234</v>
      </c>
      <c r="R24" s="124"/>
      <c r="S24" s="129" t="str">
        <f>IF(L21="","Kostenangabe fehlt!","")</f>
        <v>Kostenangabe fehlt!</v>
      </c>
      <c r="T24" s="128"/>
      <c r="U24" s="129">
        <f>IF(B8="","",IF(AND(B8&gt;0,L8=""),"Angabe Adressen fehlt!",""))</f>
      </c>
      <c r="V24" s="132"/>
      <c r="W24" s="124"/>
      <c r="X24" s="124"/>
      <c r="Y24" s="124"/>
      <c r="Z24" s="124"/>
      <c r="AA24" s="127"/>
      <c r="AC24" s="172" t="s">
        <v>399</v>
      </c>
      <c r="AD24" s="171">
        <f>IF(L23="",L24,IF(L24="",L23,IF(AND(L23=0,L24=""),0,IF(AND(L23&gt;0,L24&gt;0),L23,0))))</f>
        <v>0</v>
      </c>
    </row>
    <row r="25" spans="1:27" ht="12.75">
      <c r="A25" s="11"/>
      <c r="B25" s="7"/>
      <c r="C25" s="7"/>
      <c r="D25" s="7"/>
      <c r="E25" s="7"/>
      <c r="F25" s="7"/>
      <c r="G25" s="7"/>
      <c r="H25" s="7"/>
      <c r="I25" s="7"/>
      <c r="J25" s="7"/>
      <c r="K25" s="7"/>
      <c r="L25" s="7"/>
      <c r="M25" s="7"/>
      <c r="N25" s="7"/>
      <c r="O25" s="8"/>
      <c r="P25" s="123"/>
      <c r="Q25" s="124"/>
      <c r="R25" s="124"/>
      <c r="S25" s="134"/>
      <c r="T25" s="124"/>
      <c r="U25" s="126"/>
      <c r="V25" s="124"/>
      <c r="W25" s="124"/>
      <c r="X25" s="124"/>
      <c r="Y25" s="124"/>
      <c r="Z25" s="124"/>
      <c r="AA25" s="127"/>
    </row>
    <row r="26" spans="1:27" ht="15.75">
      <c r="A26" s="9" t="s">
        <v>575</v>
      </c>
      <c r="B26" s="10" t="s">
        <v>7</v>
      </c>
      <c r="C26" s="10"/>
      <c r="D26" s="7"/>
      <c r="E26" s="7"/>
      <c r="F26" s="7"/>
      <c r="G26" s="7"/>
      <c r="H26" s="7"/>
      <c r="I26" s="7"/>
      <c r="J26" s="7"/>
      <c r="K26" s="7"/>
      <c r="L26" s="7"/>
      <c r="M26" s="7"/>
      <c r="N26" s="7"/>
      <c r="O26" s="8"/>
      <c r="P26" s="123"/>
      <c r="Q26" s="124"/>
      <c r="R26" s="124"/>
      <c r="S26" s="125"/>
      <c r="T26" s="128"/>
      <c r="U26" s="129"/>
      <c r="V26" s="129"/>
      <c r="W26" s="124"/>
      <c r="X26" s="124"/>
      <c r="Y26" s="124"/>
      <c r="Z26" s="124"/>
      <c r="AA26" s="127"/>
    </row>
    <row r="27" spans="1:27" ht="15.75">
      <c r="A27" s="9"/>
      <c r="B27" s="15" t="s">
        <v>14</v>
      </c>
      <c r="C27" s="10"/>
      <c r="D27" s="7"/>
      <c r="E27" s="7"/>
      <c r="F27" s="7"/>
      <c r="G27" s="7"/>
      <c r="H27" s="7"/>
      <c r="I27" s="7"/>
      <c r="J27" s="7"/>
      <c r="K27" s="7"/>
      <c r="L27" s="7"/>
      <c r="M27" s="7"/>
      <c r="N27" s="7"/>
      <c r="O27" s="8"/>
      <c r="P27" s="123"/>
      <c r="Q27" s="124"/>
      <c r="R27" s="124"/>
      <c r="S27" s="125"/>
      <c r="T27" s="128"/>
      <c r="U27" s="129"/>
      <c r="V27" s="129"/>
      <c r="W27" s="124"/>
      <c r="X27" s="124"/>
      <c r="Y27" s="124"/>
      <c r="Z27" s="124"/>
      <c r="AA27" s="127"/>
    </row>
    <row r="28" spans="1:27" ht="12.75">
      <c r="A28" s="6" t="s">
        <v>1</v>
      </c>
      <c r="B28" s="12" t="s">
        <v>16</v>
      </c>
      <c r="C28" s="12"/>
      <c r="D28" s="7"/>
      <c r="E28" s="7"/>
      <c r="F28" s="7"/>
      <c r="G28" s="7"/>
      <c r="H28" s="7"/>
      <c r="I28" s="7"/>
      <c r="J28" s="7"/>
      <c r="K28" s="8"/>
      <c r="L28" s="38"/>
      <c r="M28" s="7" t="s">
        <v>242</v>
      </c>
      <c r="N28" s="7"/>
      <c r="O28" s="8"/>
      <c r="P28" s="123"/>
      <c r="Q28" s="134"/>
      <c r="R28" s="124"/>
      <c r="S28" s="124"/>
      <c r="T28" s="124"/>
      <c r="U28" s="124"/>
      <c r="V28" s="124"/>
      <c r="W28" s="124"/>
      <c r="X28" s="124"/>
      <c r="Y28" s="124"/>
      <c r="Z28" s="124"/>
      <c r="AA28" s="127"/>
    </row>
    <row r="29" spans="1:27" ht="7.5" customHeight="1">
      <c r="A29" s="6"/>
      <c r="B29" s="13"/>
      <c r="C29" s="13"/>
      <c r="D29" s="7"/>
      <c r="E29" s="7"/>
      <c r="F29" s="7"/>
      <c r="G29" s="7"/>
      <c r="H29" s="7"/>
      <c r="I29" s="7"/>
      <c r="J29" s="7"/>
      <c r="K29" s="7"/>
      <c r="L29" s="7"/>
      <c r="M29" s="7"/>
      <c r="N29" s="7"/>
      <c r="O29" s="8"/>
      <c r="P29" s="123"/>
      <c r="Q29" s="134"/>
      <c r="R29" s="124"/>
      <c r="S29" s="124"/>
      <c r="T29" s="124"/>
      <c r="U29" s="124"/>
      <c r="V29" s="124"/>
      <c r="W29" s="124"/>
      <c r="X29" s="124"/>
      <c r="Y29" s="124"/>
      <c r="Z29" s="124"/>
      <c r="AA29" s="127"/>
    </row>
    <row r="30" spans="1:27" ht="12.75">
      <c r="A30" s="6" t="s">
        <v>2</v>
      </c>
      <c r="B30" s="12" t="s">
        <v>576</v>
      </c>
      <c r="C30" s="12"/>
      <c r="D30" s="7"/>
      <c r="E30" s="7"/>
      <c r="F30" s="7"/>
      <c r="G30" s="7"/>
      <c r="H30" s="7"/>
      <c r="I30" s="7"/>
      <c r="J30" s="7"/>
      <c r="K30" s="8"/>
      <c r="L30" s="39"/>
      <c r="M30" s="7" t="s">
        <v>76</v>
      </c>
      <c r="N30" s="7"/>
      <c r="O30" s="8"/>
      <c r="P30" s="123"/>
      <c r="Q30" s="153"/>
      <c r="R30" s="124"/>
      <c r="S30" s="124"/>
      <c r="T30" s="124"/>
      <c r="U30" s="124"/>
      <c r="V30" s="124"/>
      <c r="W30" s="124"/>
      <c r="X30" s="124"/>
      <c r="Y30" s="124"/>
      <c r="Z30" s="124"/>
      <c r="AA30" s="127"/>
    </row>
    <row r="31" spans="1:27" ht="12.75">
      <c r="A31" s="6" t="s">
        <v>3</v>
      </c>
      <c r="B31" s="12" t="s">
        <v>0</v>
      </c>
      <c r="C31" s="12"/>
      <c r="D31" s="7"/>
      <c r="E31" s="7"/>
      <c r="F31" s="7"/>
      <c r="G31" s="7"/>
      <c r="H31" s="7"/>
      <c r="I31" s="7"/>
      <c r="J31" s="7"/>
      <c r="K31" s="8"/>
      <c r="L31" s="39"/>
      <c r="M31" s="7" t="s">
        <v>76</v>
      </c>
      <c r="N31" s="7"/>
      <c r="O31" s="8"/>
      <c r="P31" s="123"/>
      <c r="Q31" s="124"/>
      <c r="R31" s="124"/>
      <c r="S31" s="124"/>
      <c r="T31" s="124"/>
      <c r="U31" s="124"/>
      <c r="V31" s="124"/>
      <c r="W31" s="124"/>
      <c r="X31" s="124"/>
      <c r="Y31" s="124"/>
      <c r="Z31" s="124"/>
      <c r="AA31" s="127"/>
    </row>
    <row r="32" spans="1:27" ht="12.75">
      <c r="A32" s="6" t="s">
        <v>4</v>
      </c>
      <c r="B32" s="12" t="s">
        <v>5</v>
      </c>
      <c r="C32" s="12"/>
      <c r="D32" s="7"/>
      <c r="E32" s="7"/>
      <c r="F32" s="7"/>
      <c r="G32" s="7"/>
      <c r="H32" s="7"/>
      <c r="I32" s="7"/>
      <c r="J32" s="7"/>
      <c r="K32" s="8"/>
      <c r="L32" s="237">
        <f>IF(OR(L30="",L31=""),"",L30-L31)</f>
      </c>
      <c r="M32" s="7" t="s">
        <v>76</v>
      </c>
      <c r="N32" s="7"/>
      <c r="O32" s="8"/>
      <c r="P32" s="123"/>
      <c r="Q32" s="134"/>
      <c r="R32" s="124"/>
      <c r="S32" s="124"/>
      <c r="T32" s="124"/>
      <c r="U32" s="124"/>
      <c r="V32" s="124"/>
      <c r="W32" s="124"/>
      <c r="X32" s="124"/>
      <c r="Y32" s="124"/>
      <c r="Z32" s="124"/>
      <c r="AA32" s="127"/>
    </row>
    <row r="33" spans="1:30" ht="12.75">
      <c r="A33" s="92"/>
      <c r="B33" s="12" t="s">
        <v>513</v>
      </c>
      <c r="C33" s="12"/>
      <c r="D33" s="7"/>
      <c r="E33" s="7"/>
      <c r="F33" s="7"/>
      <c r="G33" s="7"/>
      <c r="H33" s="7"/>
      <c r="I33" s="7"/>
      <c r="J33" s="7"/>
      <c r="K33" s="8"/>
      <c r="L33" s="39"/>
      <c r="M33" s="7" t="s">
        <v>76</v>
      </c>
      <c r="N33" s="7"/>
      <c r="O33" s="8"/>
      <c r="P33" s="123"/>
      <c r="Q33" s="153"/>
      <c r="R33" s="124"/>
      <c r="S33" s="129"/>
      <c r="T33" s="128"/>
      <c r="U33" s="129"/>
      <c r="V33" s="128"/>
      <c r="W33" s="124"/>
      <c r="X33" s="124"/>
      <c r="Y33" s="124"/>
      <c r="Z33" s="124"/>
      <c r="AA33" s="127"/>
      <c r="AC33" s="172" t="s">
        <v>399</v>
      </c>
      <c r="AD33" s="171">
        <f>IF(L32="",L33,IF(L33="",L32,IF(AND(L32=0,L33=""),0,IF(AND(L32&gt;0,L33&gt;0),L32,0))))</f>
        <v>0</v>
      </c>
    </row>
    <row r="34" spans="1:27" ht="12.75">
      <c r="A34" s="11"/>
      <c r="B34" s="7"/>
      <c r="C34" s="7"/>
      <c r="D34" s="7"/>
      <c r="E34" s="7"/>
      <c r="F34" s="7"/>
      <c r="G34" s="7"/>
      <c r="H34" s="7"/>
      <c r="I34" s="7"/>
      <c r="J34" s="7"/>
      <c r="K34" s="7"/>
      <c r="L34" s="7"/>
      <c r="M34" s="7"/>
      <c r="N34" s="7"/>
      <c r="O34" s="8"/>
      <c r="P34" s="123"/>
      <c r="Q34" s="124"/>
      <c r="R34" s="124"/>
      <c r="S34" s="134"/>
      <c r="T34" s="124"/>
      <c r="U34" s="126"/>
      <c r="V34" s="124"/>
      <c r="W34" s="124"/>
      <c r="X34" s="124"/>
      <c r="Y34" s="124"/>
      <c r="Z34" s="124"/>
      <c r="AA34" s="127"/>
    </row>
    <row r="35" spans="1:27" ht="15.75">
      <c r="A35" s="9" t="s">
        <v>8</v>
      </c>
      <c r="B35" s="10" t="s">
        <v>13</v>
      </c>
      <c r="C35" s="10"/>
      <c r="D35" s="7"/>
      <c r="E35" s="7"/>
      <c r="F35" s="7"/>
      <c r="G35" s="7"/>
      <c r="H35" s="7"/>
      <c r="I35" s="7"/>
      <c r="J35" s="7"/>
      <c r="K35" s="7"/>
      <c r="L35" s="7"/>
      <c r="M35" s="7"/>
      <c r="N35" s="7"/>
      <c r="O35" s="8"/>
      <c r="P35" s="123"/>
      <c r="Q35" s="124"/>
      <c r="R35" s="124"/>
      <c r="S35" s="125"/>
      <c r="T35" s="128"/>
      <c r="U35" s="129"/>
      <c r="V35" s="129"/>
      <c r="W35" s="124"/>
      <c r="X35" s="124"/>
      <c r="Y35" s="124"/>
      <c r="Z35" s="124"/>
      <c r="AA35" s="127"/>
    </row>
    <row r="36" spans="1:27" ht="15.75">
      <c r="A36" s="9"/>
      <c r="B36" s="15" t="s">
        <v>15</v>
      </c>
      <c r="C36" s="10"/>
      <c r="D36" s="7"/>
      <c r="E36" s="7"/>
      <c r="F36" s="7"/>
      <c r="G36" s="7"/>
      <c r="H36" s="7"/>
      <c r="I36" s="7"/>
      <c r="J36" s="7"/>
      <c r="K36" s="7"/>
      <c r="L36" s="7"/>
      <c r="M36" s="7"/>
      <c r="N36" s="7"/>
      <c r="O36" s="8"/>
      <c r="P36" s="123"/>
      <c r="Q36" s="124"/>
      <c r="R36" s="124"/>
      <c r="S36" s="125"/>
      <c r="T36" s="128"/>
      <c r="U36" s="129"/>
      <c r="V36" s="129"/>
      <c r="W36" s="124"/>
      <c r="X36" s="124"/>
      <c r="Y36" s="124"/>
      <c r="Z36" s="124"/>
      <c r="AA36" s="127"/>
    </row>
    <row r="37" spans="1:27" ht="12.75">
      <c r="A37" s="6" t="s">
        <v>9</v>
      </c>
      <c r="B37" s="12" t="s">
        <v>321</v>
      </c>
      <c r="C37" s="12"/>
      <c r="D37" s="7"/>
      <c r="E37" s="7"/>
      <c r="F37" s="7"/>
      <c r="G37" s="7"/>
      <c r="H37" s="7"/>
      <c r="I37" s="7"/>
      <c r="J37" s="7"/>
      <c r="K37" s="8"/>
      <c r="L37" s="38"/>
      <c r="M37" s="7" t="s">
        <v>242</v>
      </c>
      <c r="N37" s="7"/>
      <c r="O37" s="8"/>
      <c r="P37" s="123"/>
      <c r="Q37" s="134"/>
      <c r="R37" s="124"/>
      <c r="S37" s="124"/>
      <c r="T37" s="124"/>
      <c r="U37" s="124"/>
      <c r="V37" s="124"/>
      <c r="W37" s="124"/>
      <c r="X37" s="124"/>
      <c r="Y37" s="124"/>
      <c r="Z37" s="124"/>
      <c r="AA37" s="127"/>
    </row>
    <row r="38" spans="1:27" ht="7.5" customHeight="1">
      <c r="A38" s="6"/>
      <c r="B38" s="13"/>
      <c r="C38" s="13"/>
      <c r="D38" s="7"/>
      <c r="E38" s="7"/>
      <c r="F38" s="7"/>
      <c r="G38" s="7"/>
      <c r="H38" s="7"/>
      <c r="I38" s="7"/>
      <c r="J38" s="7"/>
      <c r="K38" s="7"/>
      <c r="L38" s="7"/>
      <c r="M38" s="7"/>
      <c r="N38" s="7"/>
      <c r="O38" s="8"/>
      <c r="P38" s="123"/>
      <c r="Q38" s="134"/>
      <c r="R38" s="124"/>
      <c r="S38" s="124"/>
      <c r="T38" s="124"/>
      <c r="U38" s="124"/>
      <c r="V38" s="124"/>
      <c r="W38" s="124"/>
      <c r="X38" s="124"/>
      <c r="Y38" s="124"/>
      <c r="Z38" s="124"/>
      <c r="AA38" s="127"/>
    </row>
    <row r="39" spans="1:27" ht="12.75">
      <c r="A39" s="6" t="s">
        <v>10</v>
      </c>
      <c r="B39" s="12" t="s">
        <v>576</v>
      </c>
      <c r="C39" s="12"/>
      <c r="D39" s="7"/>
      <c r="E39" s="7"/>
      <c r="F39" s="7"/>
      <c r="G39" s="7"/>
      <c r="H39" s="7"/>
      <c r="I39" s="7"/>
      <c r="J39" s="7"/>
      <c r="K39" s="8"/>
      <c r="L39" s="39"/>
      <c r="M39" s="7" t="s">
        <v>76</v>
      </c>
      <c r="N39" s="7"/>
      <c r="O39" s="8"/>
      <c r="P39" s="123"/>
      <c r="Q39" s="153"/>
      <c r="R39" s="124"/>
      <c r="S39" s="124"/>
      <c r="T39" s="124"/>
      <c r="U39" s="124"/>
      <c r="V39" s="124"/>
      <c r="W39" s="124"/>
      <c r="X39" s="124"/>
      <c r="Y39" s="124"/>
      <c r="Z39" s="124"/>
      <c r="AA39" s="127"/>
    </row>
    <row r="40" spans="1:27" ht="12.75">
      <c r="A40" s="6" t="s">
        <v>11</v>
      </c>
      <c r="B40" s="12" t="s">
        <v>18</v>
      </c>
      <c r="C40" s="12"/>
      <c r="D40" s="7"/>
      <c r="E40" s="7"/>
      <c r="F40" s="7"/>
      <c r="G40" s="7"/>
      <c r="H40" s="7"/>
      <c r="I40" s="7"/>
      <c r="J40" s="7"/>
      <c r="K40" s="8"/>
      <c r="L40" s="39"/>
      <c r="M40" s="7" t="s">
        <v>76</v>
      </c>
      <c r="N40" s="7"/>
      <c r="O40" s="8"/>
      <c r="P40" s="123"/>
      <c r="Q40" s="124"/>
      <c r="R40" s="124"/>
      <c r="S40" s="124"/>
      <c r="T40" s="124"/>
      <c r="U40" s="124"/>
      <c r="V40" s="124"/>
      <c r="W40" s="124"/>
      <c r="X40" s="124"/>
      <c r="Y40" s="124"/>
      <c r="Z40" s="124"/>
      <c r="AA40" s="127"/>
    </row>
    <row r="41" spans="1:27" ht="12.75">
      <c r="A41" s="6" t="s">
        <v>12</v>
      </c>
      <c r="B41" s="12" t="s">
        <v>19</v>
      </c>
      <c r="C41" s="12"/>
      <c r="D41" s="7"/>
      <c r="E41" s="7"/>
      <c r="F41" s="7"/>
      <c r="G41" s="7"/>
      <c r="H41" s="7"/>
      <c r="I41" s="7"/>
      <c r="J41" s="7"/>
      <c r="K41" s="8"/>
      <c r="L41" s="173">
        <f>IF(OR(L39="",L40=""),"",L39+L40)</f>
      </c>
      <c r="M41" s="7" t="s">
        <v>76</v>
      </c>
      <c r="N41" s="7"/>
      <c r="O41" s="8"/>
      <c r="P41" s="123"/>
      <c r="Q41" s="134"/>
      <c r="R41" s="124"/>
      <c r="S41" s="124"/>
      <c r="T41" s="124"/>
      <c r="U41" s="124"/>
      <c r="V41" s="124"/>
      <c r="W41" s="124"/>
      <c r="X41" s="124"/>
      <c r="Y41" s="124"/>
      <c r="Z41" s="124"/>
      <c r="AA41" s="127"/>
    </row>
    <row r="42" spans="1:30" ht="12.75">
      <c r="A42" s="92"/>
      <c r="B42" s="12" t="s">
        <v>513</v>
      </c>
      <c r="C42" s="12"/>
      <c r="D42" s="7"/>
      <c r="E42" s="7"/>
      <c r="F42" s="7"/>
      <c r="G42" s="7"/>
      <c r="H42" s="7"/>
      <c r="I42" s="7"/>
      <c r="J42" s="7"/>
      <c r="K42" s="8"/>
      <c r="L42" s="39"/>
      <c r="M42" s="7" t="s">
        <v>76</v>
      </c>
      <c r="N42" s="7"/>
      <c r="O42" s="8"/>
      <c r="P42" s="123"/>
      <c r="Q42" s="153"/>
      <c r="R42" s="124"/>
      <c r="S42" s="129"/>
      <c r="T42" s="128"/>
      <c r="U42" s="129"/>
      <c r="V42" s="128"/>
      <c r="W42" s="124"/>
      <c r="X42" s="124"/>
      <c r="Y42" s="124"/>
      <c r="Z42" s="124"/>
      <c r="AA42" s="127"/>
      <c r="AC42" s="172" t="s">
        <v>399</v>
      </c>
      <c r="AD42" s="171">
        <f>IF(L41="",L42,IF(L42="",L41,IF(AND(L41=0,L42=""),0,IF(AND(L41&gt;0,L42&gt;0),L41,0))))</f>
        <v>0</v>
      </c>
    </row>
    <row r="43" spans="1:27" ht="12.75">
      <c r="A43" s="18"/>
      <c r="B43" s="19"/>
      <c r="C43" s="19"/>
      <c r="D43" s="19"/>
      <c r="E43" s="19"/>
      <c r="F43" s="19"/>
      <c r="G43" s="19"/>
      <c r="H43" s="19"/>
      <c r="I43" s="19"/>
      <c r="J43" s="19"/>
      <c r="K43" s="19"/>
      <c r="L43" s="19"/>
      <c r="M43" s="19"/>
      <c r="N43" s="19"/>
      <c r="O43" s="20"/>
      <c r="P43" s="139"/>
      <c r="Q43" s="140"/>
      <c r="R43" s="140"/>
      <c r="S43" s="148"/>
      <c r="T43" s="140"/>
      <c r="U43" s="142"/>
      <c r="V43" s="140"/>
      <c r="W43" s="140"/>
      <c r="X43" s="140"/>
      <c r="Y43" s="140"/>
      <c r="Z43" s="140"/>
      <c r="AA43" s="143"/>
    </row>
    <row r="44" ht="12.75"/>
    <row r="45" ht="12.75"/>
    <row r="46" ht="12.75"/>
  </sheetData>
  <sheetProtection password="CF5B" sheet="1" objects="1" scenarios="1" selectLockedCells="1"/>
  <mergeCells count="2">
    <mergeCell ref="G12:N12"/>
    <mergeCell ref="N5:O5"/>
  </mergeCells>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5"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AH42"/>
  <sheetViews>
    <sheetView showGridLines="0" workbookViewId="0" topLeftCell="A19">
      <selection activeCell="C10" sqref="C10"/>
    </sheetView>
  </sheetViews>
  <sheetFormatPr defaultColWidth="11.421875" defaultRowHeight="12.75"/>
  <cols>
    <col min="1" max="1" width="8.140625" style="2" customWidth="1"/>
    <col min="2" max="2" width="10.8515625" style="1" customWidth="1"/>
    <col min="3" max="5" width="12.28125" style="1" customWidth="1"/>
    <col min="6" max="6" width="4.7109375" style="1" customWidth="1"/>
    <col min="7" max="7" width="8.28125" style="1" bestFit="1" customWidth="1"/>
    <col min="8" max="8" width="5.28125" style="1" customWidth="1"/>
    <col min="9" max="9" width="8.28125" style="1" bestFit="1" customWidth="1"/>
    <col min="10" max="10" width="6.57421875" style="1" customWidth="1"/>
    <col min="11" max="11" width="8.28125" style="1" bestFit="1" customWidth="1"/>
    <col min="12" max="12" width="29.00390625" style="1" bestFit="1" customWidth="1"/>
    <col min="13" max="13" width="11.421875" style="1" customWidth="1"/>
    <col min="14" max="14" width="4.00390625" style="1" customWidth="1"/>
    <col min="15" max="15" width="32.8515625" style="1" customWidth="1"/>
    <col min="16" max="16" width="7.00390625" style="1" customWidth="1"/>
    <col min="17" max="17" width="11.421875" style="40" customWidth="1"/>
    <col min="18" max="18" width="11.421875" style="1" customWidth="1"/>
    <col min="19" max="19" width="11.421875" style="33" customWidth="1"/>
    <col min="20" max="24" width="11.421875" style="1" customWidth="1"/>
    <col min="25" max="25" width="6.421875" style="1" customWidth="1"/>
    <col min="26" max="26" width="11.421875" style="1" customWidth="1"/>
    <col min="27" max="33" width="0" style="1" hidden="1" customWidth="1"/>
    <col min="34" max="16384" width="11.421875" style="1" customWidth="1"/>
  </cols>
  <sheetData>
    <row r="1" spans="1:25" ht="15.75">
      <c r="A1" s="29" t="str">
        <f>Allgemeines!A1</f>
        <v>Steirischer Abfallspiegel - Datenerhebung</v>
      </c>
      <c r="B1" s="4"/>
      <c r="C1" s="4"/>
      <c r="D1" s="4"/>
      <c r="E1" s="4"/>
      <c r="F1" s="4"/>
      <c r="G1" s="4"/>
      <c r="H1" s="4"/>
      <c r="I1" s="4"/>
      <c r="J1" s="4"/>
      <c r="K1" s="4"/>
      <c r="L1" s="4"/>
      <c r="M1" s="5"/>
      <c r="N1" s="118" t="s">
        <v>380</v>
      </c>
      <c r="O1" s="119"/>
      <c r="P1" s="119"/>
      <c r="Q1" s="120"/>
      <c r="R1" s="119"/>
      <c r="S1" s="121"/>
      <c r="T1" s="119"/>
      <c r="U1" s="119"/>
      <c r="V1" s="119"/>
      <c r="W1" s="119"/>
      <c r="X1" s="119"/>
      <c r="Y1" s="122"/>
    </row>
    <row r="2" spans="1:25" ht="12.75">
      <c r="A2" s="6" t="s">
        <v>77</v>
      </c>
      <c r="B2" s="7"/>
      <c r="C2" s="21">
        <f>IF(Allgemeines!F12="","Unter Allgemeines wurde kein Untersuchungsjahr ausgewählt!",Allgemeines!F12)</f>
        <v>2008</v>
      </c>
      <c r="D2" s="7"/>
      <c r="E2" s="7"/>
      <c r="F2" s="7"/>
      <c r="G2" s="7"/>
      <c r="H2" s="7"/>
      <c r="I2" s="7"/>
      <c r="J2" s="7"/>
      <c r="K2" s="7"/>
      <c r="L2" s="7"/>
      <c r="M2" s="8"/>
      <c r="N2" s="123"/>
      <c r="O2" s="124"/>
      <c r="P2" s="124"/>
      <c r="Q2" s="125"/>
      <c r="R2" s="124"/>
      <c r="S2" s="126"/>
      <c r="T2" s="124"/>
      <c r="U2" s="124"/>
      <c r="V2" s="124"/>
      <c r="W2" s="124"/>
      <c r="X2" s="124"/>
      <c r="Y2" s="127"/>
    </row>
    <row r="3" spans="1:25" ht="12.75">
      <c r="A3" s="11"/>
      <c r="B3" s="7"/>
      <c r="C3" s="7"/>
      <c r="D3" s="7"/>
      <c r="E3" s="7"/>
      <c r="F3" s="7"/>
      <c r="G3" s="7"/>
      <c r="H3" s="7"/>
      <c r="I3" s="7"/>
      <c r="J3" s="7"/>
      <c r="K3" s="7"/>
      <c r="L3" s="7"/>
      <c r="M3" s="8"/>
      <c r="N3" s="123"/>
      <c r="O3" s="124"/>
      <c r="P3" s="124"/>
      <c r="Q3" s="125"/>
      <c r="R3" s="128"/>
      <c r="S3" s="129"/>
      <c r="T3" s="128"/>
      <c r="U3" s="128"/>
      <c r="V3" s="124"/>
      <c r="W3" s="124"/>
      <c r="X3" s="124"/>
      <c r="Y3" s="127"/>
    </row>
    <row r="4" spans="1:34" ht="15.75">
      <c r="A4" s="9" t="s">
        <v>129</v>
      </c>
      <c r="B4" s="10" t="s">
        <v>220</v>
      </c>
      <c r="C4" s="7"/>
      <c r="D4" s="7"/>
      <c r="E4" s="7"/>
      <c r="F4" s="7"/>
      <c r="G4" s="7"/>
      <c r="H4" s="7"/>
      <c r="I4" s="7"/>
      <c r="J4" s="7"/>
      <c r="K4" s="7"/>
      <c r="L4" s="7"/>
      <c r="M4" s="8"/>
      <c r="N4" s="123"/>
      <c r="O4" s="124"/>
      <c r="P4" s="124"/>
      <c r="Q4" s="125"/>
      <c r="R4" s="128"/>
      <c r="S4" s="129"/>
      <c r="T4" s="128"/>
      <c r="U4" s="128"/>
      <c r="V4" s="124"/>
      <c r="W4" s="124"/>
      <c r="X4" s="124"/>
      <c r="Y4" s="127"/>
      <c r="Z4" s="43"/>
      <c r="AH4" s="43"/>
    </row>
    <row r="5" spans="1:25" ht="12.75">
      <c r="A5" s="16"/>
      <c r="B5" s="7"/>
      <c r="C5" s="7"/>
      <c r="D5" s="7"/>
      <c r="E5" s="7"/>
      <c r="F5" s="7"/>
      <c r="G5" s="7"/>
      <c r="H5" s="7"/>
      <c r="I5" s="7"/>
      <c r="J5" s="7"/>
      <c r="K5" s="7"/>
      <c r="L5" s="7"/>
      <c r="M5" s="72">
        <f>Sperrmüll!N5+1</f>
        <v>4</v>
      </c>
      <c r="N5" s="123"/>
      <c r="O5" s="130"/>
      <c r="P5" s="130"/>
      <c r="Q5" s="131"/>
      <c r="R5" s="132"/>
      <c r="S5" s="133"/>
      <c r="T5" s="128"/>
      <c r="U5" s="128"/>
      <c r="V5" s="124"/>
      <c r="W5" s="124"/>
      <c r="X5" s="124"/>
      <c r="Y5" s="127"/>
    </row>
    <row r="6" spans="1:30" ht="15.75">
      <c r="A6" s="9" t="s">
        <v>137</v>
      </c>
      <c r="B6" s="10" t="s">
        <v>212</v>
      </c>
      <c r="C6" s="7"/>
      <c r="D6" s="7"/>
      <c r="E6" s="7"/>
      <c r="F6" s="7"/>
      <c r="G6" s="7"/>
      <c r="H6" s="7"/>
      <c r="I6" s="7"/>
      <c r="J6" s="7"/>
      <c r="K6" s="7"/>
      <c r="L6" s="7"/>
      <c r="M6" s="8"/>
      <c r="N6" s="123"/>
      <c r="O6" s="134" t="s">
        <v>110</v>
      </c>
      <c r="P6" s="124"/>
      <c r="Q6" s="146">
        <f>IF(OR(AE31=0,Allgemeines!Q12=""),"",Bioabfall!AE31/Allgemeines!Q12)</f>
      </c>
      <c r="R6" s="128" t="s">
        <v>433</v>
      </c>
      <c r="S6" s="136">
        <f>IF(Q6="","",IF(OR(Q6&lt;150,Q6&gt;2500),"=&gt; Wert erscheint nach erster Prüfung auffällig, bitte auf Plausibilität prüfen!",""))</f>
      </c>
      <c r="T6" s="128"/>
      <c r="U6" s="128"/>
      <c r="V6" s="124"/>
      <c r="W6" s="124"/>
      <c r="X6" s="124"/>
      <c r="Y6" s="127"/>
      <c r="AD6" s="1" t="s">
        <v>115</v>
      </c>
    </row>
    <row r="7" spans="1:25" ht="12.75">
      <c r="A7" s="6" t="s">
        <v>138</v>
      </c>
      <c r="B7" s="12" t="s">
        <v>421</v>
      </c>
      <c r="C7" s="7"/>
      <c r="D7" s="7"/>
      <c r="E7" s="7"/>
      <c r="F7" s="7"/>
      <c r="G7" s="7"/>
      <c r="H7" s="7"/>
      <c r="I7" s="7"/>
      <c r="J7" s="7"/>
      <c r="K7" s="7"/>
      <c r="L7" s="7"/>
      <c r="M7" s="8"/>
      <c r="N7" s="123"/>
      <c r="O7" s="130" t="s">
        <v>523</v>
      </c>
      <c r="P7" s="124"/>
      <c r="Q7" s="129" t="str">
        <f>IF(AE31=0,"Behälterangaben fehlen!","")</f>
        <v>Behälterangaben fehlen!</v>
      </c>
      <c r="R7" s="128"/>
      <c r="S7" s="129" t="str">
        <f>IF(Allgemeines!Q10="","Angaben zu den Einwohnern fehlen!","")</f>
        <v>Angaben zu den Einwohnern fehlen!</v>
      </c>
      <c r="T7" s="132"/>
      <c r="U7" s="132"/>
      <c r="V7" s="124"/>
      <c r="W7" s="124"/>
      <c r="X7" s="124"/>
      <c r="Y7" s="127"/>
    </row>
    <row r="8" spans="1:33" ht="38.25">
      <c r="A8" s="16"/>
      <c r="B8" s="22" t="s">
        <v>71</v>
      </c>
      <c r="C8" s="23" t="s">
        <v>427</v>
      </c>
      <c r="D8" s="24"/>
      <c r="E8" s="24"/>
      <c r="F8" s="24"/>
      <c r="G8" s="24"/>
      <c r="H8" s="24"/>
      <c r="I8" s="24"/>
      <c r="J8" s="24"/>
      <c r="K8" s="25"/>
      <c r="L8" s="22" t="s">
        <v>109</v>
      </c>
      <c r="M8" s="8"/>
      <c r="N8" s="123"/>
      <c r="O8" s="130"/>
      <c r="P8" s="130"/>
      <c r="Q8" s="131"/>
      <c r="R8" s="132"/>
      <c r="S8" s="133"/>
      <c r="T8" s="132"/>
      <c r="U8" s="128"/>
      <c r="V8" s="124"/>
      <c r="W8" s="124"/>
      <c r="X8" s="124"/>
      <c r="Y8" s="127"/>
      <c r="AA8" s="41" t="s">
        <v>72</v>
      </c>
      <c r="AB8" s="41"/>
      <c r="AD8" s="1" t="s">
        <v>116</v>
      </c>
      <c r="AE8" s="1" t="s">
        <v>117</v>
      </c>
      <c r="AF8" s="1" t="s">
        <v>119</v>
      </c>
      <c r="AG8" s="1" t="s">
        <v>118</v>
      </c>
    </row>
    <row r="9" spans="1:25" ht="12.75">
      <c r="A9" s="16"/>
      <c r="B9" s="26"/>
      <c r="C9" s="14" t="s">
        <v>422</v>
      </c>
      <c r="D9" s="14" t="s">
        <v>423</v>
      </c>
      <c r="E9" s="14" t="s">
        <v>424</v>
      </c>
      <c r="F9" s="34"/>
      <c r="G9" s="14" t="s">
        <v>75</v>
      </c>
      <c r="H9" s="34"/>
      <c r="I9" s="14" t="s">
        <v>75</v>
      </c>
      <c r="J9" s="34"/>
      <c r="K9" s="14" t="s">
        <v>75</v>
      </c>
      <c r="L9" s="27"/>
      <c r="M9" s="8"/>
      <c r="N9" s="123"/>
      <c r="O9" s="134" t="s">
        <v>108</v>
      </c>
      <c r="P9" s="124"/>
      <c r="Q9" s="146">
        <f>IF(OR(Allgemeines!Q12="",Bioabfall!L32=""),"",Bioabfall!L32*1000/Allgemeines!Q12)</f>
      </c>
      <c r="R9" s="128" t="s">
        <v>223</v>
      </c>
      <c r="S9" s="137">
        <f>IF(Q9="","",IF(OR(Q9&lt;45,Q9&gt;150),"=&gt; Wert erscheint nach erster Prüfung auffällig, bitte auf Plausibilität prüfen!",""))</f>
      </c>
      <c r="T9" s="128"/>
      <c r="U9" s="128"/>
      <c r="V9" s="124"/>
      <c r="W9" s="124"/>
      <c r="X9" s="124"/>
      <c r="Y9" s="127"/>
    </row>
    <row r="10" spans="1:33" ht="12.75">
      <c r="A10" s="16"/>
      <c r="B10" s="28">
        <v>80</v>
      </c>
      <c r="C10" s="35"/>
      <c r="D10" s="35"/>
      <c r="E10" s="35"/>
      <c r="F10" s="245"/>
      <c r="G10" s="246"/>
      <c r="H10" s="245"/>
      <c r="I10" s="246"/>
      <c r="J10" s="245"/>
      <c r="K10" s="246"/>
      <c r="L10" s="36"/>
      <c r="M10" s="8"/>
      <c r="N10" s="123"/>
      <c r="O10" s="124" t="s">
        <v>523</v>
      </c>
      <c r="P10" s="124"/>
      <c r="Q10" s="129" t="str">
        <f>IF(L32="","Mengenangabe fehlt!","")</f>
        <v>Mengenangabe fehlt!</v>
      </c>
      <c r="R10" s="128"/>
      <c r="S10" s="138" t="str">
        <f>IF(Allgemeines!Q10="","Angaben zu den Einwohnern fehlen!","")</f>
        <v>Angaben zu den Einwohnern fehlen!</v>
      </c>
      <c r="T10" s="128"/>
      <c r="U10" s="128"/>
      <c r="V10" s="124"/>
      <c r="W10" s="124"/>
      <c r="X10" s="124"/>
      <c r="Y10" s="127"/>
      <c r="AA10" s="1" t="s">
        <v>204</v>
      </c>
      <c r="AD10" s="30">
        <f>((C10*52)+(D10*26)+(E10*13)+(F10*$F$9)+(H10*$H$9)+(J10*$J$9))</f>
        <v>0</v>
      </c>
      <c r="AE10" s="30">
        <f aca="true" t="shared" si="0" ref="AE10:AE17">AD10*B10</f>
        <v>0</v>
      </c>
      <c r="AF10" s="32">
        <v>0.8</v>
      </c>
      <c r="AG10" s="30">
        <f aca="true" t="shared" si="1" ref="AG10:AG17">AD10*AF10</f>
        <v>0</v>
      </c>
    </row>
    <row r="11" spans="1:33" ht="12.75">
      <c r="A11" s="16"/>
      <c r="B11" s="28">
        <v>120</v>
      </c>
      <c r="C11" s="35"/>
      <c r="D11" s="35"/>
      <c r="E11" s="35"/>
      <c r="F11" s="245"/>
      <c r="G11" s="246"/>
      <c r="H11" s="245"/>
      <c r="I11" s="246"/>
      <c r="J11" s="245"/>
      <c r="K11" s="246"/>
      <c r="L11" s="36"/>
      <c r="M11" s="8"/>
      <c r="N11" s="123"/>
      <c r="O11" s="130"/>
      <c r="P11" s="130"/>
      <c r="Q11" s="131"/>
      <c r="R11" s="132"/>
      <c r="S11" s="133"/>
      <c r="T11" s="128"/>
      <c r="U11" s="128"/>
      <c r="V11" s="124"/>
      <c r="W11" s="124"/>
      <c r="X11" s="124"/>
      <c r="Y11" s="127"/>
      <c r="AA11" s="1" t="s">
        <v>73</v>
      </c>
      <c r="AD11" s="30">
        <f>((C11*52)+(D11*26)+(E11*13)+(F11*$F$9)+(H11*$H$9)+(J11*$J$9))</f>
        <v>0</v>
      </c>
      <c r="AE11" s="30">
        <f t="shared" si="0"/>
        <v>0</v>
      </c>
      <c r="AF11" s="32">
        <v>0.8</v>
      </c>
      <c r="AG11" s="30">
        <f t="shared" si="1"/>
        <v>0</v>
      </c>
    </row>
    <row r="12" spans="1:33" ht="12.75">
      <c r="A12" s="16"/>
      <c r="B12" s="28">
        <v>240</v>
      </c>
      <c r="C12" s="35"/>
      <c r="D12" s="35"/>
      <c r="E12" s="35"/>
      <c r="F12" s="245"/>
      <c r="G12" s="246"/>
      <c r="H12" s="245"/>
      <c r="I12" s="246"/>
      <c r="J12" s="245"/>
      <c r="K12" s="246"/>
      <c r="L12" s="36"/>
      <c r="M12" s="8"/>
      <c r="N12" s="123"/>
      <c r="O12" s="134" t="s">
        <v>218</v>
      </c>
      <c r="P12" s="124"/>
      <c r="Q12" s="146">
        <f>IF(OR(L35="",L32=""),"",L35/L32)</f>
      </c>
      <c r="R12" s="128" t="s">
        <v>217</v>
      </c>
      <c r="S12" s="137">
        <f>IF(Q12="","",IF(OR(Q12&lt;25,Q12&gt;200),"=&gt; Wert erscheint nach erster Prüfung auffällig, bitte auf Plausibilität prüfen!",""))</f>
      </c>
      <c r="T12" s="128"/>
      <c r="U12" s="128"/>
      <c r="V12" s="124"/>
      <c r="W12" s="124"/>
      <c r="X12" s="124"/>
      <c r="Y12" s="127"/>
      <c r="AA12" s="1" t="s">
        <v>495</v>
      </c>
      <c r="AD12" s="30">
        <f aca="true" t="shared" si="2" ref="AD12:AD17">((C12*52)+(D12*26)+(E12*13)+(F12*$F$9)+(H12*$H$9)+(J12*$J$9))</f>
        <v>0</v>
      </c>
      <c r="AE12" s="30">
        <f t="shared" si="0"/>
        <v>0</v>
      </c>
      <c r="AF12" s="32">
        <v>1</v>
      </c>
      <c r="AG12" s="30">
        <f t="shared" si="1"/>
        <v>0</v>
      </c>
    </row>
    <row r="13" spans="1:33" ht="12.75">
      <c r="A13" s="16"/>
      <c r="B13" s="28">
        <v>770</v>
      </c>
      <c r="C13" s="35"/>
      <c r="D13" s="35"/>
      <c r="E13" s="35"/>
      <c r="F13" s="245"/>
      <c r="G13" s="246"/>
      <c r="H13" s="245"/>
      <c r="I13" s="246"/>
      <c r="J13" s="245"/>
      <c r="K13" s="246"/>
      <c r="L13" s="36"/>
      <c r="M13" s="8"/>
      <c r="N13" s="123"/>
      <c r="O13" s="134"/>
      <c r="P13" s="124"/>
      <c r="Q13" s="129" t="str">
        <f>IF(L35="","Kostenangabe fehlt!","")</f>
        <v>Kostenangabe fehlt!</v>
      </c>
      <c r="R13" s="128"/>
      <c r="S13" s="129" t="str">
        <f>IF(L32="","Mengenangabe fehlt!","")</f>
        <v>Mengenangabe fehlt!</v>
      </c>
      <c r="T13" s="132"/>
      <c r="U13" s="128"/>
      <c r="V13" s="124"/>
      <c r="W13" s="124"/>
      <c r="X13" s="124"/>
      <c r="Y13" s="127"/>
      <c r="AA13" s="1" t="s">
        <v>74</v>
      </c>
      <c r="AD13" s="30">
        <f t="shared" si="2"/>
        <v>0</v>
      </c>
      <c r="AE13" s="30">
        <f t="shared" si="0"/>
        <v>0</v>
      </c>
      <c r="AF13" s="32">
        <v>4</v>
      </c>
      <c r="AG13" s="30">
        <f>AD13*AF13</f>
        <v>0</v>
      </c>
    </row>
    <row r="14" spans="1:33" ht="12.75">
      <c r="A14" s="16"/>
      <c r="B14" s="28">
        <v>1100</v>
      </c>
      <c r="C14" s="35"/>
      <c r="D14" s="35"/>
      <c r="E14" s="35"/>
      <c r="F14" s="245"/>
      <c r="G14" s="246"/>
      <c r="H14" s="245"/>
      <c r="I14" s="246"/>
      <c r="J14" s="245"/>
      <c r="K14" s="246"/>
      <c r="L14" s="36"/>
      <c r="M14" s="8"/>
      <c r="N14" s="123"/>
      <c r="O14" s="130"/>
      <c r="P14" s="130"/>
      <c r="Q14" s="131"/>
      <c r="R14" s="132"/>
      <c r="S14" s="133"/>
      <c r="T14" s="128"/>
      <c r="U14" s="128"/>
      <c r="V14" s="124"/>
      <c r="W14" s="124"/>
      <c r="X14" s="124"/>
      <c r="Y14" s="127"/>
      <c r="AD14" s="30">
        <f>((C14*52)+(D14*26)+(E14*13)+(F14*$F$9)+(H14*$H$9)+(J14*$J$9))</f>
        <v>0</v>
      </c>
      <c r="AE14" s="30">
        <f t="shared" si="0"/>
        <v>0</v>
      </c>
      <c r="AF14" s="32">
        <v>4</v>
      </c>
      <c r="AG14" s="30">
        <f>AD14*AF14</f>
        <v>0</v>
      </c>
    </row>
    <row r="15" spans="1:33" ht="12.75">
      <c r="A15" s="16"/>
      <c r="B15" s="37"/>
      <c r="C15" s="35"/>
      <c r="D15" s="35"/>
      <c r="E15" s="35"/>
      <c r="F15" s="245"/>
      <c r="G15" s="246"/>
      <c r="H15" s="245"/>
      <c r="I15" s="246"/>
      <c r="J15" s="245"/>
      <c r="K15" s="246"/>
      <c r="L15" s="36"/>
      <c r="M15" s="8"/>
      <c r="N15" s="123"/>
      <c r="O15" s="134" t="s">
        <v>111</v>
      </c>
      <c r="P15" s="124"/>
      <c r="Q15" s="146">
        <f>IF(OR(L36="",L32=""),"",L36/L32)</f>
      </c>
      <c r="R15" s="128" t="s">
        <v>217</v>
      </c>
      <c r="S15" s="137">
        <f>IF(Q15="","",IF(OR(Q15&lt;80,Q15&gt;400),"=&gt; Wert erscheint nach erster Prüfung auffällig, bitte auf Plausibilität prüfen!",""))</f>
      </c>
      <c r="T15" s="128"/>
      <c r="U15" s="128"/>
      <c r="V15" s="124"/>
      <c r="W15" s="124"/>
      <c r="X15" s="124"/>
      <c r="Y15" s="127"/>
      <c r="AD15" s="30">
        <f t="shared" si="2"/>
        <v>0</v>
      </c>
      <c r="AE15" s="30">
        <f t="shared" si="0"/>
        <v>0</v>
      </c>
      <c r="AF15" s="32">
        <f>IF(B15&lt;240,0.8,IF(B15=240,1,IF(B15&gt;240,4,"")))</f>
        <v>0.8</v>
      </c>
      <c r="AG15" s="30">
        <f t="shared" si="1"/>
        <v>0</v>
      </c>
    </row>
    <row r="16" spans="1:33" ht="12.75">
      <c r="A16" s="16"/>
      <c r="B16" s="37"/>
      <c r="C16" s="35"/>
      <c r="D16" s="35"/>
      <c r="E16" s="35"/>
      <c r="F16" s="245"/>
      <c r="G16" s="246"/>
      <c r="H16" s="245"/>
      <c r="I16" s="246"/>
      <c r="J16" s="245"/>
      <c r="K16" s="246"/>
      <c r="L16" s="36"/>
      <c r="M16" s="8"/>
      <c r="N16" s="123"/>
      <c r="O16" s="134"/>
      <c r="P16" s="124"/>
      <c r="Q16" s="129" t="str">
        <f>IF(L36="","Kostenangabe fehlt!","")</f>
        <v>Kostenangabe fehlt!</v>
      </c>
      <c r="R16" s="128"/>
      <c r="S16" s="129" t="str">
        <f>IF(L32="","Mengenangabe fehlt!","")</f>
        <v>Mengenangabe fehlt!</v>
      </c>
      <c r="T16" s="132"/>
      <c r="U16" s="128"/>
      <c r="V16" s="124"/>
      <c r="W16" s="124"/>
      <c r="X16" s="124"/>
      <c r="Y16" s="127"/>
      <c r="AD16" s="30">
        <f t="shared" si="2"/>
        <v>0</v>
      </c>
      <c r="AE16" s="30">
        <f t="shared" si="0"/>
        <v>0</v>
      </c>
      <c r="AF16" s="32">
        <f>IF(B16&lt;240,0.8,IF(B16=240,1,IF(B16&gt;240,4,"")))</f>
        <v>0.8</v>
      </c>
      <c r="AG16" s="30">
        <f t="shared" si="1"/>
        <v>0</v>
      </c>
    </row>
    <row r="17" spans="1:33" ht="12.75">
      <c r="A17" s="16"/>
      <c r="B17" s="37"/>
      <c r="C17" s="35"/>
      <c r="D17" s="35"/>
      <c r="E17" s="35"/>
      <c r="F17" s="245"/>
      <c r="G17" s="246"/>
      <c r="H17" s="245"/>
      <c r="I17" s="246"/>
      <c r="J17" s="245"/>
      <c r="K17" s="246"/>
      <c r="L17" s="36"/>
      <c r="M17" s="8"/>
      <c r="N17" s="123"/>
      <c r="O17" s="130"/>
      <c r="P17" s="130"/>
      <c r="Q17" s="131"/>
      <c r="R17" s="132"/>
      <c r="S17" s="133"/>
      <c r="T17" s="128"/>
      <c r="U17" s="128"/>
      <c r="V17" s="124"/>
      <c r="W17" s="124"/>
      <c r="X17" s="124"/>
      <c r="Y17" s="127"/>
      <c r="AD17" s="30">
        <f t="shared" si="2"/>
        <v>0</v>
      </c>
      <c r="AE17" s="30">
        <f t="shared" si="0"/>
        <v>0</v>
      </c>
      <c r="AF17" s="32">
        <f>IF(B17&lt;240,0.8,IF(B17=240,1,IF(B17&gt;240,4,"")))</f>
        <v>0.8</v>
      </c>
      <c r="AG17" s="30">
        <f t="shared" si="1"/>
        <v>0</v>
      </c>
    </row>
    <row r="18" spans="1:33" ht="12.75">
      <c r="A18" s="16"/>
      <c r="B18" s="7"/>
      <c r="C18" s="7"/>
      <c r="D18" s="7"/>
      <c r="E18" s="7"/>
      <c r="F18" s="7"/>
      <c r="G18" s="7"/>
      <c r="H18" s="7"/>
      <c r="I18" s="7"/>
      <c r="J18" s="7"/>
      <c r="K18" s="7"/>
      <c r="L18" s="7"/>
      <c r="M18" s="8"/>
      <c r="N18" s="123"/>
      <c r="O18" s="134" t="s">
        <v>113</v>
      </c>
      <c r="P18" s="124"/>
      <c r="Q18" s="146">
        <f>IF(OR(AD38=0,L32=""),"",AD38/L32)</f>
      </c>
      <c r="R18" s="128" t="s">
        <v>217</v>
      </c>
      <c r="S18" s="137">
        <f>IF(Q18="","",IF(OR(Q18&lt;100,Q18&gt;500),"=&gt; Wert erscheint nach erster Prüfung auffällig, bitte auf Plausibilität prüfen!",""))</f>
      </c>
      <c r="T18" s="128"/>
      <c r="U18" s="128"/>
      <c r="V18" s="124"/>
      <c r="W18" s="124"/>
      <c r="X18" s="124"/>
      <c r="Y18" s="127"/>
      <c r="AC18" s="3" t="s">
        <v>121</v>
      </c>
      <c r="AD18" s="31">
        <f>SUM(AD10:AD17)</f>
        <v>0</v>
      </c>
      <c r="AE18" s="31">
        <f>SUM(AE10:AE17)</f>
        <v>0</v>
      </c>
      <c r="AF18" s="31"/>
      <c r="AG18" s="31">
        <f>SUM(AG10:AG17)</f>
        <v>0</v>
      </c>
    </row>
    <row r="19" spans="1:29" ht="12.75">
      <c r="A19" s="6" t="s">
        <v>139</v>
      </c>
      <c r="B19" s="12" t="s">
        <v>426</v>
      </c>
      <c r="C19" s="7"/>
      <c r="D19" s="7"/>
      <c r="E19" s="7"/>
      <c r="F19" s="7"/>
      <c r="G19" s="7"/>
      <c r="H19" s="7"/>
      <c r="I19" s="7"/>
      <c r="J19" s="7"/>
      <c r="K19" s="7"/>
      <c r="L19" s="7"/>
      <c r="M19" s="8"/>
      <c r="N19" s="123"/>
      <c r="O19" s="134"/>
      <c r="P19" s="124"/>
      <c r="Q19" s="129" t="str">
        <f>IF(AD38=0,"Kostenangabe fehlt!","")</f>
        <v>Kostenangabe fehlt!</v>
      </c>
      <c r="R19" s="128"/>
      <c r="S19" s="129" t="str">
        <f>IF(L32="","Mengenangabe fehlt!","")</f>
        <v>Mengenangabe fehlt!</v>
      </c>
      <c r="T19" s="128"/>
      <c r="U19" s="128"/>
      <c r="V19" s="124"/>
      <c r="W19" s="124"/>
      <c r="X19" s="124"/>
      <c r="Y19" s="127"/>
      <c r="AC19" s="3"/>
    </row>
    <row r="20" spans="1:29" ht="38.25">
      <c r="A20" s="16"/>
      <c r="B20" s="22" t="s">
        <v>71</v>
      </c>
      <c r="C20" s="23" t="s">
        <v>427</v>
      </c>
      <c r="D20" s="24"/>
      <c r="E20" s="24"/>
      <c r="F20" s="24"/>
      <c r="G20" s="24"/>
      <c r="H20" s="24"/>
      <c r="I20" s="24"/>
      <c r="J20" s="24"/>
      <c r="K20" s="25"/>
      <c r="L20" s="22" t="s">
        <v>109</v>
      </c>
      <c r="M20" s="8"/>
      <c r="N20" s="123"/>
      <c r="O20" s="130"/>
      <c r="P20" s="130"/>
      <c r="Q20" s="131"/>
      <c r="R20" s="132"/>
      <c r="S20" s="133"/>
      <c r="T20" s="128"/>
      <c r="U20" s="128"/>
      <c r="V20" s="124"/>
      <c r="W20" s="124"/>
      <c r="X20" s="124"/>
      <c r="Y20" s="127"/>
      <c r="AC20" s="3"/>
    </row>
    <row r="21" spans="1:29" ht="12.75">
      <c r="A21" s="16"/>
      <c r="B21" s="26"/>
      <c r="C21" s="14" t="s">
        <v>422</v>
      </c>
      <c r="D21" s="14" t="s">
        <v>423</v>
      </c>
      <c r="E21" s="14" t="s">
        <v>424</v>
      </c>
      <c r="F21" s="34"/>
      <c r="G21" s="14" t="s">
        <v>75</v>
      </c>
      <c r="H21" s="34"/>
      <c r="I21" s="14" t="s">
        <v>75</v>
      </c>
      <c r="J21" s="34"/>
      <c r="K21" s="14" t="s">
        <v>75</v>
      </c>
      <c r="L21" s="27"/>
      <c r="M21" s="8"/>
      <c r="N21" s="123"/>
      <c r="O21" s="134" t="s">
        <v>114</v>
      </c>
      <c r="P21" s="124"/>
      <c r="Q21" s="146">
        <f>IF(OR(AD38=0,Allgemeines!Q12=""),"",AD38/Allgemeines!Q12)</f>
      </c>
      <c r="R21" s="128" t="s">
        <v>224</v>
      </c>
      <c r="S21" s="137">
        <f>IF(Q21="","",IF(OR(Q21&lt;5,Q21&gt;100),"=&gt; Wert erscheint nach erster Prüfung auffällig, bitte auf Plausibilität prüfen!",""))</f>
      </c>
      <c r="T21" s="128"/>
      <c r="U21" s="128"/>
      <c r="V21" s="124"/>
      <c r="W21" s="124"/>
      <c r="X21" s="124"/>
      <c r="Y21" s="127"/>
      <c r="AC21" s="3"/>
    </row>
    <row r="22" spans="1:33" ht="12.75">
      <c r="A22" s="16"/>
      <c r="B22" s="28">
        <v>80</v>
      </c>
      <c r="C22" s="35"/>
      <c r="D22" s="35"/>
      <c r="E22" s="35"/>
      <c r="F22" s="245"/>
      <c r="G22" s="246"/>
      <c r="H22" s="245"/>
      <c r="I22" s="246"/>
      <c r="J22" s="245"/>
      <c r="K22" s="246"/>
      <c r="L22" s="36"/>
      <c r="M22" s="8"/>
      <c r="N22" s="123"/>
      <c r="O22" s="124" t="s">
        <v>523</v>
      </c>
      <c r="P22" s="124"/>
      <c r="Q22" s="129" t="str">
        <f>IF(AD38=0,"Kostenangabe fehlt!","")</f>
        <v>Kostenangabe fehlt!</v>
      </c>
      <c r="R22" s="128"/>
      <c r="S22" s="129" t="str">
        <f>IF(Allgemeines!Q10="","Angaben zu den Einwohnern fehlen!","")</f>
        <v>Angaben zu den Einwohnern fehlen!</v>
      </c>
      <c r="T22" s="128"/>
      <c r="U22" s="128"/>
      <c r="V22" s="124"/>
      <c r="W22" s="124"/>
      <c r="X22" s="124"/>
      <c r="Y22" s="127"/>
      <c r="AC22" s="3"/>
      <c r="AD22" s="30">
        <f aca="true" t="shared" si="3" ref="AD22:AD29">((C22*52)+(D22*26)+(E22*13)+(F22*$F$21)+(H22*$H$21)+(J22*$J$21))</f>
        <v>0</v>
      </c>
      <c r="AE22" s="30">
        <f aca="true" t="shared" si="4" ref="AE22:AE29">AD22*B22</f>
        <v>0</v>
      </c>
      <c r="AF22" s="32">
        <v>1.36</v>
      </c>
      <c r="AG22" s="30">
        <f aca="true" t="shared" si="5" ref="AG22:AG29">AD22*AF22</f>
        <v>0</v>
      </c>
    </row>
    <row r="23" spans="1:33" ht="12.75">
      <c r="A23" s="16"/>
      <c r="B23" s="28">
        <v>120</v>
      </c>
      <c r="C23" s="35"/>
      <c r="D23" s="35"/>
      <c r="E23" s="35"/>
      <c r="F23" s="245"/>
      <c r="G23" s="246"/>
      <c r="H23" s="245"/>
      <c r="I23" s="246"/>
      <c r="J23" s="245"/>
      <c r="K23" s="246"/>
      <c r="L23" s="36"/>
      <c r="M23" s="8"/>
      <c r="N23" s="123"/>
      <c r="O23" s="130"/>
      <c r="P23" s="130"/>
      <c r="Q23" s="131"/>
      <c r="R23" s="132"/>
      <c r="S23" s="133"/>
      <c r="T23" s="128"/>
      <c r="U23" s="128"/>
      <c r="V23" s="124"/>
      <c r="W23" s="124"/>
      <c r="X23" s="124"/>
      <c r="Y23" s="127"/>
      <c r="AC23" s="3"/>
      <c r="AD23" s="30">
        <f t="shared" si="3"/>
        <v>0</v>
      </c>
      <c r="AE23" s="30">
        <f t="shared" si="4"/>
        <v>0</v>
      </c>
      <c r="AF23" s="32">
        <v>1.36</v>
      </c>
      <c r="AG23" s="30">
        <f t="shared" si="5"/>
        <v>0</v>
      </c>
    </row>
    <row r="24" spans="1:33" ht="12.75">
      <c r="A24" s="16"/>
      <c r="B24" s="28">
        <v>240</v>
      </c>
      <c r="C24" s="35"/>
      <c r="D24" s="35"/>
      <c r="E24" s="35"/>
      <c r="F24" s="245"/>
      <c r="G24" s="246"/>
      <c r="H24" s="245"/>
      <c r="I24" s="246"/>
      <c r="J24" s="245"/>
      <c r="K24" s="246"/>
      <c r="L24" s="36"/>
      <c r="M24" s="8"/>
      <c r="N24" s="123"/>
      <c r="O24" s="134" t="s">
        <v>219</v>
      </c>
      <c r="P24" s="124"/>
      <c r="Q24" s="146">
        <f>IF(OR(Bioabfall!AG31=0,Bioabfall!L35=""),"",Bioabfall!L35/Bioabfall!AG31)</f>
      </c>
      <c r="R24" s="128" t="s">
        <v>112</v>
      </c>
      <c r="S24" s="137">
        <f>IF(Q24="","",IF(OR(Q24&lt;0.2,Q24&gt;7),"=&gt; Wert erscheint nach erster Prüfung auffällig, bitte auf Plausibilität prüfen!",""))</f>
      </c>
      <c r="T24" s="128"/>
      <c r="U24" s="128"/>
      <c r="V24" s="124"/>
      <c r="W24" s="124"/>
      <c r="X24" s="124"/>
      <c r="Y24" s="127"/>
      <c r="AC24" s="3"/>
      <c r="AD24" s="30">
        <f t="shared" si="3"/>
        <v>0</v>
      </c>
      <c r="AE24" s="30">
        <f t="shared" si="4"/>
        <v>0</v>
      </c>
      <c r="AF24" s="32">
        <v>1.7</v>
      </c>
      <c r="AG24" s="30">
        <f t="shared" si="5"/>
        <v>0</v>
      </c>
    </row>
    <row r="25" spans="1:33" ht="12.75">
      <c r="A25" s="16"/>
      <c r="B25" s="28">
        <v>770</v>
      </c>
      <c r="C25" s="35"/>
      <c r="D25" s="35"/>
      <c r="E25" s="35"/>
      <c r="F25" s="245"/>
      <c r="G25" s="246"/>
      <c r="H25" s="245"/>
      <c r="I25" s="246"/>
      <c r="J25" s="245"/>
      <c r="K25" s="246"/>
      <c r="L25" s="36"/>
      <c r="M25" s="8"/>
      <c r="N25" s="123"/>
      <c r="O25" s="124"/>
      <c r="P25" s="124"/>
      <c r="Q25" s="129" t="str">
        <f>IF(L35="","Kostenangabe fehlt!","")</f>
        <v>Kostenangabe fehlt!</v>
      </c>
      <c r="R25" s="128"/>
      <c r="S25" s="129" t="str">
        <f>IF(AE31=0,"Behälterangaben fehlen!","")</f>
        <v>Behälterangaben fehlen!</v>
      </c>
      <c r="T25" s="128"/>
      <c r="U25" s="128"/>
      <c r="V25" s="124"/>
      <c r="W25" s="124"/>
      <c r="X25" s="124"/>
      <c r="Y25" s="127"/>
      <c r="AC25" s="3"/>
      <c r="AD25" s="30">
        <f t="shared" si="3"/>
        <v>0</v>
      </c>
      <c r="AE25" s="30">
        <f t="shared" si="4"/>
        <v>0</v>
      </c>
      <c r="AF25" s="32">
        <v>4</v>
      </c>
      <c r="AG25" s="30">
        <f t="shared" si="5"/>
        <v>0</v>
      </c>
    </row>
    <row r="26" spans="1:33" ht="12.75">
      <c r="A26" s="16"/>
      <c r="B26" s="28">
        <v>1100</v>
      </c>
      <c r="C26" s="35"/>
      <c r="D26" s="35"/>
      <c r="E26" s="35"/>
      <c r="F26" s="245"/>
      <c r="G26" s="246"/>
      <c r="H26" s="245"/>
      <c r="I26" s="246"/>
      <c r="J26" s="245"/>
      <c r="K26" s="246"/>
      <c r="L26" s="36"/>
      <c r="M26" s="8"/>
      <c r="N26" s="123"/>
      <c r="O26" s="124"/>
      <c r="P26" s="124"/>
      <c r="Q26" s="125"/>
      <c r="R26" s="128"/>
      <c r="S26" s="129"/>
      <c r="T26" s="128"/>
      <c r="U26" s="128"/>
      <c r="V26" s="124"/>
      <c r="W26" s="124"/>
      <c r="X26" s="124"/>
      <c r="Y26" s="127"/>
      <c r="AC26" s="3"/>
      <c r="AD26" s="30">
        <f t="shared" si="3"/>
        <v>0</v>
      </c>
      <c r="AE26" s="30">
        <f t="shared" si="4"/>
        <v>0</v>
      </c>
      <c r="AF26" s="32">
        <v>4</v>
      </c>
      <c r="AG26" s="30">
        <f t="shared" si="5"/>
        <v>0</v>
      </c>
    </row>
    <row r="27" spans="1:33" ht="12.75">
      <c r="A27" s="16"/>
      <c r="B27" s="37"/>
      <c r="C27" s="35"/>
      <c r="D27" s="35"/>
      <c r="E27" s="35"/>
      <c r="F27" s="245"/>
      <c r="G27" s="246"/>
      <c r="H27" s="245"/>
      <c r="I27" s="246"/>
      <c r="J27" s="245"/>
      <c r="K27" s="246"/>
      <c r="L27" s="36"/>
      <c r="M27" s="8"/>
      <c r="N27" s="123"/>
      <c r="O27" s="124"/>
      <c r="P27" s="124"/>
      <c r="Q27" s="125"/>
      <c r="R27" s="128"/>
      <c r="S27" s="129"/>
      <c r="T27" s="128"/>
      <c r="U27" s="128"/>
      <c r="V27" s="124"/>
      <c r="W27" s="124"/>
      <c r="X27" s="124"/>
      <c r="Y27" s="127"/>
      <c r="AC27" s="3"/>
      <c r="AD27" s="30">
        <f t="shared" si="3"/>
        <v>0</v>
      </c>
      <c r="AE27" s="30">
        <f t="shared" si="4"/>
        <v>0</v>
      </c>
      <c r="AF27" s="32">
        <f>IF(B27&lt;240,1.36,IF(B27=240,1.7,IF(B27&gt;240,4,"")))</f>
        <v>1.36</v>
      </c>
      <c r="AG27" s="30">
        <f t="shared" si="5"/>
        <v>0</v>
      </c>
    </row>
    <row r="28" spans="1:33" ht="12.75">
      <c r="A28" s="16"/>
      <c r="B28" s="37"/>
      <c r="C28" s="35"/>
      <c r="D28" s="35"/>
      <c r="E28" s="35"/>
      <c r="F28" s="245"/>
      <c r="G28" s="246"/>
      <c r="H28" s="245"/>
      <c r="I28" s="246"/>
      <c r="J28" s="245"/>
      <c r="K28" s="246"/>
      <c r="L28" s="36"/>
      <c r="M28" s="8"/>
      <c r="N28" s="123"/>
      <c r="O28" s="124"/>
      <c r="P28" s="124"/>
      <c r="Q28" s="125"/>
      <c r="R28" s="128"/>
      <c r="S28" s="129"/>
      <c r="T28" s="128"/>
      <c r="U28" s="128"/>
      <c r="V28" s="124"/>
      <c r="W28" s="124"/>
      <c r="X28" s="124"/>
      <c r="Y28" s="127"/>
      <c r="AC28" s="3"/>
      <c r="AD28" s="30">
        <f t="shared" si="3"/>
        <v>0</v>
      </c>
      <c r="AE28" s="30">
        <f t="shared" si="4"/>
        <v>0</v>
      </c>
      <c r="AF28" s="32">
        <f>IF(B28&lt;240,1.36,IF(B28=240,1.7,IF(B28&gt;240,4,"")))</f>
        <v>1.36</v>
      </c>
      <c r="AG28" s="30">
        <f t="shared" si="5"/>
        <v>0</v>
      </c>
    </row>
    <row r="29" spans="1:33" ht="12.75">
      <c r="A29" s="16"/>
      <c r="B29" s="37"/>
      <c r="C29" s="35"/>
      <c r="D29" s="35"/>
      <c r="E29" s="35"/>
      <c r="F29" s="245"/>
      <c r="G29" s="246"/>
      <c r="H29" s="245"/>
      <c r="I29" s="246"/>
      <c r="J29" s="245"/>
      <c r="K29" s="246"/>
      <c r="L29" s="36"/>
      <c r="M29" s="8"/>
      <c r="N29" s="123"/>
      <c r="O29" s="124"/>
      <c r="P29" s="124"/>
      <c r="Q29" s="125"/>
      <c r="R29" s="128"/>
      <c r="S29" s="129"/>
      <c r="T29" s="128"/>
      <c r="U29" s="128"/>
      <c r="V29" s="124"/>
      <c r="W29" s="124"/>
      <c r="X29" s="124"/>
      <c r="Y29" s="127"/>
      <c r="AC29" s="3"/>
      <c r="AD29" s="30">
        <f t="shared" si="3"/>
        <v>0</v>
      </c>
      <c r="AE29" s="30">
        <f t="shared" si="4"/>
        <v>0</v>
      </c>
      <c r="AF29" s="32">
        <f>IF(B29&lt;240,1.36,IF(B29=240,1.7,IF(B29&gt;240,4,"")))</f>
        <v>1.36</v>
      </c>
      <c r="AG29" s="30">
        <f t="shared" si="5"/>
        <v>0</v>
      </c>
    </row>
    <row r="30" spans="1:33" ht="12.75">
      <c r="A30" s="16"/>
      <c r="B30" s="7"/>
      <c r="C30" s="7"/>
      <c r="D30" s="7"/>
      <c r="E30" s="7"/>
      <c r="F30" s="7"/>
      <c r="G30" s="7"/>
      <c r="H30" s="7"/>
      <c r="I30" s="7"/>
      <c r="J30" s="7"/>
      <c r="K30" s="7"/>
      <c r="L30" s="7"/>
      <c r="M30" s="8"/>
      <c r="N30" s="123"/>
      <c r="O30" s="124"/>
      <c r="P30" s="124"/>
      <c r="Q30" s="125"/>
      <c r="R30" s="124"/>
      <c r="S30" s="126"/>
      <c r="T30" s="124"/>
      <c r="U30" s="124"/>
      <c r="V30" s="124"/>
      <c r="W30" s="124"/>
      <c r="X30" s="124"/>
      <c r="Y30" s="127"/>
      <c r="AC30" s="3" t="s">
        <v>120</v>
      </c>
      <c r="AD30" s="31">
        <f>SUM(AD22:AD29)</f>
        <v>0</v>
      </c>
      <c r="AE30" s="31">
        <f>SUM(AE22:AE29)</f>
        <v>0</v>
      </c>
      <c r="AF30" s="31"/>
      <c r="AG30" s="31">
        <f>SUM(AG22:AG29)</f>
        <v>0</v>
      </c>
    </row>
    <row r="31" spans="1:33" ht="15.75">
      <c r="A31" s="9" t="s">
        <v>140</v>
      </c>
      <c r="B31" s="10" t="s">
        <v>221</v>
      </c>
      <c r="C31" s="7"/>
      <c r="D31" s="7"/>
      <c r="E31" s="7"/>
      <c r="F31" s="7"/>
      <c r="G31" s="7"/>
      <c r="H31" s="7"/>
      <c r="I31" s="7"/>
      <c r="J31" s="7"/>
      <c r="K31" s="7"/>
      <c r="L31" s="7"/>
      <c r="M31" s="8"/>
      <c r="N31" s="123"/>
      <c r="O31" s="124"/>
      <c r="P31" s="124"/>
      <c r="Q31" s="125"/>
      <c r="R31" s="124"/>
      <c r="S31" s="126"/>
      <c r="T31" s="124"/>
      <c r="U31" s="124"/>
      <c r="V31" s="124"/>
      <c r="W31" s="124"/>
      <c r="X31" s="124"/>
      <c r="Y31" s="127"/>
      <c r="AC31" s="3" t="s">
        <v>122</v>
      </c>
      <c r="AD31" s="31">
        <f>AD18+AD30</f>
        <v>0</v>
      </c>
      <c r="AE31" s="31">
        <f>AE18+AE30</f>
        <v>0</v>
      </c>
      <c r="AF31" s="31"/>
      <c r="AG31" s="31">
        <f>AG18+AG30</f>
        <v>0</v>
      </c>
    </row>
    <row r="32" spans="1:25" ht="12.75">
      <c r="A32" s="6"/>
      <c r="B32" s="12" t="s">
        <v>216</v>
      </c>
      <c r="C32" s="7"/>
      <c r="D32" s="7"/>
      <c r="E32" s="7"/>
      <c r="F32" s="7"/>
      <c r="G32" s="7"/>
      <c r="H32" s="7"/>
      <c r="I32" s="7"/>
      <c r="J32" s="7"/>
      <c r="K32" s="8"/>
      <c r="L32" s="38"/>
      <c r="M32" s="8" t="s">
        <v>242</v>
      </c>
      <c r="N32" s="123"/>
      <c r="O32" s="124"/>
      <c r="P32" s="124"/>
      <c r="Q32" s="125"/>
      <c r="R32" s="124"/>
      <c r="S32" s="126"/>
      <c r="T32" s="124"/>
      <c r="U32" s="124"/>
      <c r="V32" s="124"/>
      <c r="W32" s="124"/>
      <c r="X32" s="124"/>
      <c r="Y32" s="127"/>
    </row>
    <row r="33" spans="1:25" ht="12.75">
      <c r="A33" s="16"/>
      <c r="B33" s="7"/>
      <c r="C33" s="7"/>
      <c r="D33" s="7"/>
      <c r="E33" s="7"/>
      <c r="F33" s="7"/>
      <c r="G33" s="7"/>
      <c r="H33" s="7"/>
      <c r="I33" s="7"/>
      <c r="J33" s="7"/>
      <c r="K33" s="7"/>
      <c r="L33" s="7"/>
      <c r="M33" s="8"/>
      <c r="N33" s="123"/>
      <c r="O33" s="124"/>
      <c r="P33" s="124"/>
      <c r="Q33" s="125"/>
      <c r="R33" s="124"/>
      <c r="S33" s="126"/>
      <c r="T33" s="124"/>
      <c r="U33" s="124"/>
      <c r="V33" s="124"/>
      <c r="W33" s="124"/>
      <c r="X33" s="124"/>
      <c r="Y33" s="127"/>
    </row>
    <row r="34" spans="1:32" ht="15.75">
      <c r="A34" s="9" t="s">
        <v>141</v>
      </c>
      <c r="B34" s="10" t="s">
        <v>222</v>
      </c>
      <c r="C34" s="7"/>
      <c r="D34" s="7"/>
      <c r="E34" s="7"/>
      <c r="F34" s="7"/>
      <c r="G34" s="7"/>
      <c r="H34" s="7"/>
      <c r="I34" s="7"/>
      <c r="J34" s="7"/>
      <c r="K34" s="7"/>
      <c r="L34" s="7"/>
      <c r="M34" s="8"/>
      <c r="N34" s="123"/>
      <c r="O34" s="124"/>
      <c r="P34" s="124"/>
      <c r="Q34" s="125"/>
      <c r="R34" s="124"/>
      <c r="S34" s="126"/>
      <c r="T34" s="124"/>
      <c r="U34" s="124"/>
      <c r="V34" s="124"/>
      <c r="W34" s="124"/>
      <c r="X34" s="124"/>
      <c r="Y34" s="127"/>
      <c r="AF34" s="32"/>
    </row>
    <row r="35" spans="1:32" ht="12.75">
      <c r="A35" s="6" t="s">
        <v>142</v>
      </c>
      <c r="B35" s="12" t="s">
        <v>511</v>
      </c>
      <c r="C35" s="7"/>
      <c r="D35" s="7"/>
      <c r="E35" s="7"/>
      <c r="F35" s="7"/>
      <c r="G35" s="7"/>
      <c r="H35" s="7"/>
      <c r="I35" s="7"/>
      <c r="J35" s="7"/>
      <c r="K35" s="8"/>
      <c r="L35" s="39"/>
      <c r="M35" s="8" t="s">
        <v>76</v>
      </c>
      <c r="N35" s="123"/>
      <c r="O35" s="124"/>
      <c r="P35" s="124"/>
      <c r="Q35" s="125"/>
      <c r="R35" s="124"/>
      <c r="S35" s="126"/>
      <c r="T35" s="124"/>
      <c r="U35" s="124"/>
      <c r="V35" s="124"/>
      <c r="W35" s="124"/>
      <c r="X35" s="124"/>
      <c r="Y35" s="127"/>
      <c r="AF35" s="32"/>
    </row>
    <row r="36" spans="1:32" ht="12.75">
      <c r="A36" s="6" t="s">
        <v>143</v>
      </c>
      <c r="B36" s="12" t="s">
        <v>512</v>
      </c>
      <c r="C36" s="7"/>
      <c r="D36" s="7"/>
      <c r="E36" s="7"/>
      <c r="F36" s="7"/>
      <c r="G36" s="7"/>
      <c r="H36" s="7"/>
      <c r="I36" s="7"/>
      <c r="J36" s="7"/>
      <c r="K36" s="8"/>
      <c r="L36" s="39"/>
      <c r="M36" s="8" t="s">
        <v>76</v>
      </c>
      <c r="N36" s="123"/>
      <c r="O36" s="124"/>
      <c r="P36" s="124"/>
      <c r="Q36" s="125"/>
      <c r="R36" s="124"/>
      <c r="S36" s="126"/>
      <c r="T36" s="124"/>
      <c r="U36" s="124"/>
      <c r="V36" s="124"/>
      <c r="W36" s="124"/>
      <c r="X36" s="124"/>
      <c r="Y36" s="127"/>
      <c r="AF36" s="32"/>
    </row>
    <row r="37" spans="1:32" ht="12.75">
      <c r="A37" s="6" t="s">
        <v>144</v>
      </c>
      <c r="B37" s="12" t="s">
        <v>522</v>
      </c>
      <c r="C37" s="7"/>
      <c r="D37" s="7"/>
      <c r="E37" s="7"/>
      <c r="F37" s="7"/>
      <c r="G37" s="7"/>
      <c r="H37" s="7"/>
      <c r="I37" s="7"/>
      <c r="J37" s="7"/>
      <c r="K37" s="8"/>
      <c r="L37" s="173">
        <f>IF(OR(L35="",L36=""),"",SUM(L35:L36))</f>
      </c>
      <c r="M37" s="8" t="s">
        <v>76</v>
      </c>
      <c r="N37" s="123"/>
      <c r="O37" s="124"/>
      <c r="P37" s="124"/>
      <c r="Q37" s="125"/>
      <c r="R37" s="124"/>
      <c r="S37" s="126"/>
      <c r="T37" s="124"/>
      <c r="U37" s="124"/>
      <c r="V37" s="124"/>
      <c r="W37" s="124"/>
      <c r="X37" s="124"/>
      <c r="Y37" s="127"/>
      <c r="AF37" s="32"/>
    </row>
    <row r="38" spans="1:32" ht="12.75">
      <c r="A38" s="11"/>
      <c r="B38" s="12" t="s">
        <v>513</v>
      </c>
      <c r="C38" s="7"/>
      <c r="D38" s="7"/>
      <c r="E38" s="7"/>
      <c r="F38" s="7"/>
      <c r="G38" s="7"/>
      <c r="H38" s="7"/>
      <c r="I38" s="7"/>
      <c r="J38" s="7"/>
      <c r="K38" s="7"/>
      <c r="L38" s="39"/>
      <c r="M38" s="8" t="s">
        <v>76</v>
      </c>
      <c r="N38" s="123"/>
      <c r="O38" s="124"/>
      <c r="P38" s="124"/>
      <c r="Q38" s="125"/>
      <c r="R38" s="124"/>
      <c r="S38" s="126"/>
      <c r="T38" s="124"/>
      <c r="U38" s="124"/>
      <c r="V38" s="124"/>
      <c r="W38" s="124"/>
      <c r="X38" s="124"/>
      <c r="Y38" s="127"/>
      <c r="AC38" s="172" t="s">
        <v>399</v>
      </c>
      <c r="AD38" s="171">
        <f>IF(L37="",L38,IF(L38="",L37,IF(AND(L37=0,L38=""),0,IF(AND(L37&gt;0,L38&gt;0),L37,0))))</f>
        <v>0</v>
      </c>
      <c r="AF38" s="32"/>
    </row>
    <row r="39" spans="1:32" ht="12.75">
      <c r="A39" s="18"/>
      <c r="B39" s="19"/>
      <c r="C39" s="19"/>
      <c r="D39" s="19"/>
      <c r="E39" s="19"/>
      <c r="F39" s="19"/>
      <c r="G39" s="19"/>
      <c r="H39" s="19"/>
      <c r="I39" s="19"/>
      <c r="J39" s="19"/>
      <c r="K39" s="19"/>
      <c r="L39" s="19"/>
      <c r="M39" s="20"/>
      <c r="N39" s="139"/>
      <c r="O39" s="140"/>
      <c r="P39" s="140"/>
      <c r="Q39" s="141"/>
      <c r="R39" s="140"/>
      <c r="S39" s="142"/>
      <c r="T39" s="140"/>
      <c r="U39" s="140"/>
      <c r="V39" s="140"/>
      <c r="W39" s="140"/>
      <c r="X39" s="140"/>
      <c r="Y39" s="143"/>
      <c r="AF39" s="32"/>
    </row>
    <row r="40" ht="12.75">
      <c r="AF40" s="32"/>
    </row>
    <row r="41" ht="12.75">
      <c r="AF41" s="32"/>
    </row>
    <row r="42" ht="12.75">
      <c r="AF42" s="32"/>
    </row>
    <row r="43" ht="12.75"/>
  </sheetData>
  <sheetProtection password="CF5B" sheet="1" objects="1" scenarios="1" selectLockedCells="1"/>
  <mergeCells count="48">
    <mergeCell ref="J28:K28"/>
    <mergeCell ref="J29:K29"/>
    <mergeCell ref="J24:K24"/>
    <mergeCell ref="J25:K25"/>
    <mergeCell ref="J26:K26"/>
    <mergeCell ref="J27:K27"/>
    <mergeCell ref="F28:G28"/>
    <mergeCell ref="F29:G29"/>
    <mergeCell ref="H22:I22"/>
    <mergeCell ref="H23:I23"/>
    <mergeCell ref="H24:I24"/>
    <mergeCell ref="H25:I25"/>
    <mergeCell ref="H26:I26"/>
    <mergeCell ref="H27:I27"/>
    <mergeCell ref="H28:I28"/>
    <mergeCell ref="H29:I29"/>
    <mergeCell ref="F24:G24"/>
    <mergeCell ref="F25:G25"/>
    <mergeCell ref="F26:G26"/>
    <mergeCell ref="F27:G27"/>
    <mergeCell ref="J16:K16"/>
    <mergeCell ref="J17:K17"/>
    <mergeCell ref="F22:G22"/>
    <mergeCell ref="F23:G23"/>
    <mergeCell ref="J22:K22"/>
    <mergeCell ref="J23:K23"/>
    <mergeCell ref="F16:G16"/>
    <mergeCell ref="F17:G17"/>
    <mergeCell ref="J12:K12"/>
    <mergeCell ref="J13:K13"/>
    <mergeCell ref="J14:K14"/>
    <mergeCell ref="J15:K15"/>
    <mergeCell ref="H15:I15"/>
    <mergeCell ref="H16:I16"/>
    <mergeCell ref="H17:I17"/>
    <mergeCell ref="F12:G12"/>
    <mergeCell ref="F13:G13"/>
    <mergeCell ref="F14:G14"/>
    <mergeCell ref="F15:G15"/>
    <mergeCell ref="H12:I12"/>
    <mergeCell ref="H13:I13"/>
    <mergeCell ref="H14:I14"/>
    <mergeCell ref="F10:G10"/>
    <mergeCell ref="H10:I10"/>
    <mergeCell ref="J10:K10"/>
    <mergeCell ref="F11:G11"/>
    <mergeCell ref="J11:K11"/>
    <mergeCell ref="H11:I11"/>
  </mergeCells>
  <dataValidations count="1">
    <dataValidation type="list" allowBlank="1" showInputMessage="1" showErrorMessage="1" sqref="L10:L17 L22:L29">
      <formula1>$AA$10:$AA$13</formula1>
    </dataValidation>
  </dataValidations>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3" max="65535" man="1"/>
  </colBreaks>
  <drawing r:id="rId3"/>
  <legacyDrawing r:id="rId2"/>
</worksheet>
</file>

<file path=xl/worksheets/sheet8.xml><?xml version="1.0" encoding="utf-8"?>
<worksheet xmlns="http://schemas.openxmlformats.org/spreadsheetml/2006/main" xmlns:r="http://schemas.openxmlformats.org/officeDocument/2006/relationships">
  <dimension ref="A1:AH42"/>
  <sheetViews>
    <sheetView showGridLines="0" workbookViewId="0" topLeftCell="A13">
      <selection activeCell="C10" sqref="C10"/>
    </sheetView>
  </sheetViews>
  <sheetFormatPr defaultColWidth="11.421875" defaultRowHeight="12.75"/>
  <cols>
    <col min="1" max="1" width="8.140625" style="2" customWidth="1"/>
    <col min="2" max="2" width="10.8515625" style="1" customWidth="1"/>
    <col min="3" max="5" width="12.28125" style="1" customWidth="1"/>
    <col min="6" max="6" width="4.7109375" style="1" customWidth="1"/>
    <col min="7" max="7" width="8.28125" style="1" bestFit="1" customWidth="1"/>
    <col min="8" max="8" width="5.28125" style="1" customWidth="1"/>
    <col min="9" max="9" width="8.28125" style="1" bestFit="1" customWidth="1"/>
    <col min="10" max="10" width="6.57421875" style="1" customWidth="1"/>
    <col min="11" max="11" width="8.28125" style="1" bestFit="1" customWidth="1"/>
    <col min="12" max="12" width="29.00390625" style="1" bestFit="1" customWidth="1"/>
    <col min="13" max="13" width="11.421875" style="1" customWidth="1"/>
    <col min="14" max="14" width="4.00390625" style="1" customWidth="1"/>
    <col min="15" max="15" width="32.8515625" style="1" customWidth="1"/>
    <col min="16" max="16" width="7.00390625" style="1" customWidth="1"/>
    <col min="17" max="17" width="11.421875" style="40" customWidth="1"/>
    <col min="18" max="18" width="11.421875" style="1" customWidth="1"/>
    <col min="19" max="19" width="11.421875" style="33" customWidth="1"/>
    <col min="20" max="24" width="11.421875" style="1" customWidth="1"/>
    <col min="25" max="25" width="6.421875" style="1" customWidth="1"/>
    <col min="26" max="26" width="11.421875" style="1" customWidth="1"/>
    <col min="27" max="33" width="0" style="1" hidden="1" customWidth="1"/>
    <col min="34" max="16384" width="11.421875" style="1" customWidth="1"/>
  </cols>
  <sheetData>
    <row r="1" spans="1:25" ht="15.75">
      <c r="A1" s="29" t="str">
        <f>Allgemeines!A1</f>
        <v>Steirischer Abfallspiegel - Datenerhebung</v>
      </c>
      <c r="B1" s="4"/>
      <c r="C1" s="4"/>
      <c r="D1" s="4"/>
      <c r="E1" s="4"/>
      <c r="F1" s="4"/>
      <c r="G1" s="4"/>
      <c r="H1" s="4"/>
      <c r="I1" s="4"/>
      <c r="J1" s="4"/>
      <c r="K1" s="4"/>
      <c r="L1" s="4"/>
      <c r="M1" s="5"/>
      <c r="N1" s="118" t="s">
        <v>381</v>
      </c>
      <c r="O1" s="119"/>
      <c r="P1" s="119"/>
      <c r="Q1" s="120"/>
      <c r="R1" s="119"/>
      <c r="S1" s="121"/>
      <c r="T1" s="119"/>
      <c r="U1" s="119"/>
      <c r="V1" s="119"/>
      <c r="W1" s="119"/>
      <c r="X1" s="119"/>
      <c r="Y1" s="122"/>
    </row>
    <row r="2" spans="1:25" ht="12.75">
      <c r="A2" s="6" t="s">
        <v>77</v>
      </c>
      <c r="B2" s="7"/>
      <c r="C2" s="21">
        <f>IF(Allgemeines!F12="","Unter Allgemeines wurde kein Untersuchungsjahr ausgewählt!",Allgemeines!F12)</f>
        <v>2008</v>
      </c>
      <c r="D2" s="7"/>
      <c r="E2" s="7"/>
      <c r="F2" s="7"/>
      <c r="G2" s="7"/>
      <c r="H2" s="7"/>
      <c r="I2" s="7"/>
      <c r="J2" s="7"/>
      <c r="K2" s="7"/>
      <c r="L2" s="7"/>
      <c r="M2" s="8"/>
      <c r="N2" s="123"/>
      <c r="O2" s="124"/>
      <c r="P2" s="124"/>
      <c r="Q2" s="125"/>
      <c r="R2" s="124"/>
      <c r="S2" s="126"/>
      <c r="T2" s="124"/>
      <c r="U2" s="124"/>
      <c r="V2" s="124"/>
      <c r="W2" s="124"/>
      <c r="X2" s="124"/>
      <c r="Y2" s="127"/>
    </row>
    <row r="3" spans="1:25" ht="12.75">
      <c r="A3" s="11"/>
      <c r="B3" s="7"/>
      <c r="C3" s="7"/>
      <c r="D3" s="7"/>
      <c r="E3" s="7"/>
      <c r="F3" s="7"/>
      <c r="G3" s="7"/>
      <c r="H3" s="7"/>
      <c r="I3" s="7"/>
      <c r="J3" s="7"/>
      <c r="K3" s="7"/>
      <c r="L3" s="7"/>
      <c r="M3" s="8"/>
      <c r="N3" s="123"/>
      <c r="O3" s="124"/>
      <c r="P3" s="124"/>
      <c r="Q3" s="125"/>
      <c r="R3" s="124"/>
      <c r="S3" s="126"/>
      <c r="T3" s="124"/>
      <c r="U3" s="124"/>
      <c r="V3" s="124"/>
      <c r="W3" s="124"/>
      <c r="X3" s="124"/>
      <c r="Y3" s="127"/>
    </row>
    <row r="4" spans="1:25" ht="15.75">
      <c r="A4" s="9" t="s">
        <v>130</v>
      </c>
      <c r="B4" s="10" t="s">
        <v>260</v>
      </c>
      <c r="C4" s="7"/>
      <c r="D4" s="7"/>
      <c r="E4" s="7"/>
      <c r="F4" s="7"/>
      <c r="G4" s="7"/>
      <c r="H4" s="7"/>
      <c r="I4" s="7"/>
      <c r="J4" s="7"/>
      <c r="K4" s="7"/>
      <c r="L4" s="7"/>
      <c r="M4" s="8"/>
      <c r="N4" s="123"/>
      <c r="O4" s="124"/>
      <c r="P4" s="124"/>
      <c r="Q4" s="125"/>
      <c r="R4" s="128"/>
      <c r="S4" s="129"/>
      <c r="T4" s="128"/>
      <c r="U4" s="128"/>
      <c r="V4" s="128"/>
      <c r="W4" s="124"/>
      <c r="X4" s="124"/>
      <c r="Y4" s="127"/>
    </row>
    <row r="5" spans="1:25" ht="12.75">
      <c r="A5" s="16"/>
      <c r="B5" s="7"/>
      <c r="C5" s="7"/>
      <c r="D5" s="7"/>
      <c r="E5" s="7"/>
      <c r="F5" s="7"/>
      <c r="G5" s="7"/>
      <c r="H5" s="7"/>
      <c r="I5" s="7"/>
      <c r="J5" s="7"/>
      <c r="K5" s="7"/>
      <c r="L5" s="7"/>
      <c r="M5" s="72">
        <f>Bioabfall!M5+1</f>
        <v>5</v>
      </c>
      <c r="N5" s="123"/>
      <c r="O5" s="130"/>
      <c r="P5" s="130"/>
      <c r="Q5" s="131"/>
      <c r="R5" s="132"/>
      <c r="S5" s="133"/>
      <c r="T5" s="128"/>
      <c r="U5" s="128"/>
      <c r="V5" s="128"/>
      <c r="W5" s="124"/>
      <c r="X5" s="124"/>
      <c r="Y5" s="127"/>
    </row>
    <row r="6" spans="1:34" ht="15.75">
      <c r="A6" s="9" t="s">
        <v>145</v>
      </c>
      <c r="B6" s="10" t="s">
        <v>212</v>
      </c>
      <c r="C6" s="7"/>
      <c r="D6" s="7"/>
      <c r="E6" s="7"/>
      <c r="F6" s="7"/>
      <c r="G6" s="7"/>
      <c r="H6" s="7"/>
      <c r="I6" s="7"/>
      <c r="J6" s="7"/>
      <c r="K6" s="7"/>
      <c r="L6" s="7"/>
      <c r="M6" s="8"/>
      <c r="N6" s="123"/>
      <c r="O6" s="134" t="s">
        <v>110</v>
      </c>
      <c r="P6" s="124"/>
      <c r="Q6" s="146">
        <f>IF(OR(AE31=0,Allgemeines!Q10=""),"",Altpapier!AE31/Allgemeines!Q10)</f>
      </c>
      <c r="R6" s="128" t="s">
        <v>433</v>
      </c>
      <c r="S6" s="136">
        <f>IF(Q6="","",IF(OR(Q6&lt;100,Q6&gt;2000),"=&gt; Wert erscheint nach erster Prüfung auffällig, bitte auf Plausibilität prüfen!",""))</f>
      </c>
      <c r="T6" s="128"/>
      <c r="U6" s="128"/>
      <c r="V6" s="128"/>
      <c r="W6" s="124"/>
      <c r="X6" s="124"/>
      <c r="Y6" s="127"/>
      <c r="Z6" s="43"/>
      <c r="AD6" s="1" t="s">
        <v>115</v>
      </c>
      <c r="AH6" s="43"/>
    </row>
    <row r="7" spans="1:25" ht="12.75">
      <c r="A7" s="6" t="s">
        <v>146</v>
      </c>
      <c r="B7" s="12" t="s">
        <v>421</v>
      </c>
      <c r="C7" s="7"/>
      <c r="D7" s="7"/>
      <c r="E7" s="7"/>
      <c r="F7" s="7"/>
      <c r="G7" s="7"/>
      <c r="H7" s="7"/>
      <c r="I7" s="7"/>
      <c r="J7" s="7"/>
      <c r="K7" s="7"/>
      <c r="L7" s="7"/>
      <c r="M7" s="8"/>
      <c r="N7" s="123"/>
      <c r="O7" s="130"/>
      <c r="P7" s="124"/>
      <c r="Q7" s="129" t="str">
        <f>IF(AE31=0,"Behälterangaben fehlen!","")</f>
        <v>Behälterangaben fehlen!</v>
      </c>
      <c r="R7" s="128"/>
      <c r="S7" s="129" t="str">
        <f>IF(Allgemeines!Q10="","Angaben zu den Einwohnern fehlen!","")</f>
        <v>Angaben zu den Einwohnern fehlen!</v>
      </c>
      <c r="T7" s="132"/>
      <c r="U7" s="132"/>
      <c r="V7" s="128"/>
      <c r="W7" s="124"/>
      <c r="X7" s="124"/>
      <c r="Y7" s="127"/>
    </row>
    <row r="8" spans="1:33" ht="38.25">
      <c r="A8" s="16"/>
      <c r="B8" s="22" t="s">
        <v>71</v>
      </c>
      <c r="C8" s="23" t="s">
        <v>427</v>
      </c>
      <c r="D8" s="24"/>
      <c r="E8" s="24"/>
      <c r="F8" s="24"/>
      <c r="G8" s="24"/>
      <c r="H8" s="24"/>
      <c r="I8" s="24"/>
      <c r="J8" s="24"/>
      <c r="K8" s="25"/>
      <c r="L8" s="22" t="s">
        <v>109</v>
      </c>
      <c r="M8" s="8"/>
      <c r="N8" s="123"/>
      <c r="O8" s="130"/>
      <c r="P8" s="130"/>
      <c r="Q8" s="131"/>
      <c r="R8" s="132"/>
      <c r="S8" s="133"/>
      <c r="T8" s="132"/>
      <c r="U8" s="128"/>
      <c r="V8" s="128"/>
      <c r="W8" s="124"/>
      <c r="X8" s="124"/>
      <c r="Y8" s="127"/>
      <c r="AA8" s="41" t="s">
        <v>72</v>
      </c>
      <c r="AB8" s="41"/>
      <c r="AD8" s="1" t="s">
        <v>116</v>
      </c>
      <c r="AE8" s="1" t="s">
        <v>117</v>
      </c>
      <c r="AF8" s="1" t="s">
        <v>119</v>
      </c>
      <c r="AG8" s="1" t="s">
        <v>118</v>
      </c>
    </row>
    <row r="9" spans="1:25" ht="12.75">
      <c r="A9" s="16"/>
      <c r="B9" s="26"/>
      <c r="C9" s="14" t="s">
        <v>422</v>
      </c>
      <c r="D9" s="14" t="s">
        <v>423</v>
      </c>
      <c r="E9" s="14" t="s">
        <v>424</v>
      </c>
      <c r="F9" s="247" t="s">
        <v>425</v>
      </c>
      <c r="G9" s="248"/>
      <c r="H9" s="34"/>
      <c r="I9" s="14" t="s">
        <v>75</v>
      </c>
      <c r="J9" s="34"/>
      <c r="K9" s="14" t="s">
        <v>75</v>
      </c>
      <c r="L9" s="27"/>
      <c r="M9" s="8"/>
      <c r="N9" s="123"/>
      <c r="O9" s="134" t="s">
        <v>108</v>
      </c>
      <c r="P9" s="124"/>
      <c r="Q9" s="146">
        <f>IF(OR(Allgemeines!Q10="",Altpapier!L32=""),"",Altpapier!L32*1000/Allgemeines!Q10)</f>
      </c>
      <c r="R9" s="128" t="s">
        <v>223</v>
      </c>
      <c r="S9" s="137">
        <f>IF(Q9="","",IF(OR(Q9&lt;45,Q9&gt;150),"=&gt; Wert erscheint nach erster Prüfung auffällig, bitte auf Plausibilität prüfen!",""))</f>
      </c>
      <c r="T9" s="128"/>
      <c r="U9" s="128"/>
      <c r="V9" s="128"/>
      <c r="W9" s="124"/>
      <c r="X9" s="124"/>
      <c r="Y9" s="127"/>
    </row>
    <row r="10" spans="1:33" ht="12.75">
      <c r="A10" s="16"/>
      <c r="B10" s="28">
        <v>80</v>
      </c>
      <c r="C10" s="35"/>
      <c r="D10" s="35"/>
      <c r="E10" s="35"/>
      <c r="F10" s="245"/>
      <c r="G10" s="246"/>
      <c r="H10" s="245"/>
      <c r="I10" s="246"/>
      <c r="J10" s="245"/>
      <c r="K10" s="246"/>
      <c r="L10" s="36"/>
      <c r="M10" s="8"/>
      <c r="N10" s="123"/>
      <c r="O10" s="124"/>
      <c r="P10" s="124"/>
      <c r="Q10" s="129" t="str">
        <f>IF(L32="","Mengenangabe fehlt!","")</f>
        <v>Mengenangabe fehlt!</v>
      </c>
      <c r="R10" s="128"/>
      <c r="S10" s="138" t="str">
        <f>IF(Allgemeines!Q10="","Angaben zu den Einwohnern fehlen!","")</f>
        <v>Angaben zu den Einwohnern fehlen!</v>
      </c>
      <c r="T10" s="128"/>
      <c r="U10" s="128"/>
      <c r="V10" s="128"/>
      <c r="W10" s="124"/>
      <c r="X10" s="124"/>
      <c r="Y10" s="127"/>
      <c r="AA10" s="1" t="s">
        <v>204</v>
      </c>
      <c r="AD10" s="30">
        <f>((C10*52)+(D10*26)+(E10*13)+(F10*(52/6))+(H10*$H$9)+(J10*$J$9))</f>
        <v>0</v>
      </c>
      <c r="AE10" s="30">
        <f aca="true" t="shared" si="0" ref="AE10:AE17">AD10*B10</f>
        <v>0</v>
      </c>
      <c r="AF10" s="32">
        <v>0.8</v>
      </c>
      <c r="AG10" s="30">
        <f>AD10*AF10</f>
        <v>0</v>
      </c>
    </row>
    <row r="11" spans="1:33" ht="12.75">
      <c r="A11" s="16"/>
      <c r="B11" s="28">
        <v>120</v>
      </c>
      <c r="C11" s="35"/>
      <c r="D11" s="35"/>
      <c r="E11" s="35"/>
      <c r="F11" s="245"/>
      <c r="G11" s="246"/>
      <c r="H11" s="245"/>
      <c r="I11" s="246"/>
      <c r="J11" s="245"/>
      <c r="K11" s="246"/>
      <c r="L11" s="36"/>
      <c r="M11" s="8"/>
      <c r="N11" s="123"/>
      <c r="O11" s="130"/>
      <c r="P11" s="130"/>
      <c r="Q11" s="131"/>
      <c r="R11" s="132"/>
      <c r="S11" s="133"/>
      <c r="T11" s="128"/>
      <c r="U11" s="128"/>
      <c r="V11" s="128"/>
      <c r="W11" s="124"/>
      <c r="X11" s="124"/>
      <c r="Y11" s="127"/>
      <c r="AA11" s="1" t="s">
        <v>73</v>
      </c>
      <c r="AD11" s="30">
        <f aca="true" t="shared" si="1" ref="AD11:AD17">((C11*52)+(D11*26)+(E11*13)+(F11*(52/6))+(H11*$H$9)+(J11*$J$9))</f>
        <v>0</v>
      </c>
      <c r="AE11" s="30">
        <f t="shared" si="0"/>
        <v>0</v>
      </c>
      <c r="AF11" s="32">
        <v>0.8</v>
      </c>
      <c r="AG11" s="30">
        <f aca="true" t="shared" si="2" ref="AG11:AG17">AD11*AF11</f>
        <v>0</v>
      </c>
    </row>
    <row r="12" spans="1:33" ht="12.75">
      <c r="A12" s="16"/>
      <c r="B12" s="28">
        <v>240</v>
      </c>
      <c r="C12" s="35"/>
      <c r="D12" s="35"/>
      <c r="E12" s="35"/>
      <c r="F12" s="245"/>
      <c r="G12" s="246"/>
      <c r="H12" s="245"/>
      <c r="I12" s="246"/>
      <c r="J12" s="245"/>
      <c r="K12" s="246"/>
      <c r="L12" s="36"/>
      <c r="M12" s="8"/>
      <c r="N12" s="123"/>
      <c r="O12" s="134" t="s">
        <v>218</v>
      </c>
      <c r="P12" s="124"/>
      <c r="Q12" s="146">
        <f>IF(OR(L35="",L32=""),"",L35/L32)</f>
      </c>
      <c r="R12" s="128" t="s">
        <v>217</v>
      </c>
      <c r="S12" s="137">
        <f>IF(Q12="","",IF(OR(Q12&lt;25,Q12&gt;200),"=&gt; Wert erscheint nach erster Prüfung auffällig, bitte auf Plausibilität prüfen!",""))</f>
      </c>
      <c r="T12" s="128"/>
      <c r="U12" s="128"/>
      <c r="V12" s="128"/>
      <c r="W12" s="124"/>
      <c r="X12" s="124"/>
      <c r="Y12" s="127"/>
      <c r="AA12" s="1" t="s">
        <v>495</v>
      </c>
      <c r="AD12" s="30">
        <f t="shared" si="1"/>
        <v>0</v>
      </c>
      <c r="AE12" s="30">
        <f t="shared" si="0"/>
        <v>0</v>
      </c>
      <c r="AF12" s="32">
        <v>1</v>
      </c>
      <c r="AG12" s="30">
        <f t="shared" si="2"/>
        <v>0</v>
      </c>
    </row>
    <row r="13" spans="1:33" ht="12.75">
      <c r="A13" s="16"/>
      <c r="B13" s="28">
        <v>770</v>
      </c>
      <c r="C13" s="35"/>
      <c r="D13" s="35"/>
      <c r="E13" s="35"/>
      <c r="F13" s="245"/>
      <c r="G13" s="246"/>
      <c r="H13" s="245"/>
      <c r="I13" s="246"/>
      <c r="J13" s="245"/>
      <c r="K13" s="246"/>
      <c r="L13" s="36"/>
      <c r="M13" s="8"/>
      <c r="N13" s="123"/>
      <c r="O13" s="134"/>
      <c r="P13" s="124"/>
      <c r="Q13" s="129" t="str">
        <f>IF(L35="","Kostenangabe fehlt!","")</f>
        <v>Kostenangabe fehlt!</v>
      </c>
      <c r="R13" s="128"/>
      <c r="S13" s="129" t="str">
        <f>IF(L32="","Mengenangabe fehlt!","")</f>
        <v>Mengenangabe fehlt!</v>
      </c>
      <c r="T13" s="132"/>
      <c r="U13" s="128"/>
      <c r="V13" s="128"/>
      <c r="W13" s="124"/>
      <c r="X13" s="124"/>
      <c r="Y13" s="127"/>
      <c r="AA13" s="1" t="s">
        <v>74</v>
      </c>
      <c r="AD13" s="30">
        <f t="shared" si="1"/>
        <v>0</v>
      </c>
      <c r="AE13" s="30">
        <f>AD13*B13</f>
        <v>0</v>
      </c>
      <c r="AF13" s="32">
        <v>4</v>
      </c>
      <c r="AG13" s="30">
        <f t="shared" si="2"/>
        <v>0</v>
      </c>
    </row>
    <row r="14" spans="1:33" ht="12.75">
      <c r="A14" s="16"/>
      <c r="B14" s="28">
        <v>1100</v>
      </c>
      <c r="C14" s="35"/>
      <c r="D14" s="35"/>
      <c r="E14" s="35"/>
      <c r="F14" s="245"/>
      <c r="G14" s="246"/>
      <c r="H14" s="245"/>
      <c r="I14" s="246"/>
      <c r="J14" s="245"/>
      <c r="K14" s="246"/>
      <c r="L14" s="36"/>
      <c r="M14" s="8"/>
      <c r="N14" s="123"/>
      <c r="O14" s="130"/>
      <c r="P14" s="130"/>
      <c r="Q14" s="131"/>
      <c r="R14" s="132"/>
      <c r="S14" s="133"/>
      <c r="T14" s="128"/>
      <c r="U14" s="128"/>
      <c r="V14" s="128"/>
      <c r="W14" s="124"/>
      <c r="X14" s="124"/>
      <c r="Y14" s="127"/>
      <c r="AD14" s="30">
        <f t="shared" si="1"/>
        <v>0</v>
      </c>
      <c r="AE14" s="30">
        <f>AD14*B14</f>
        <v>0</v>
      </c>
      <c r="AF14" s="32">
        <v>4</v>
      </c>
      <c r="AG14" s="30">
        <f t="shared" si="2"/>
        <v>0</v>
      </c>
    </row>
    <row r="15" spans="1:33" ht="12.75">
      <c r="A15" s="16"/>
      <c r="B15" s="37"/>
      <c r="C15" s="35"/>
      <c r="D15" s="35"/>
      <c r="E15" s="35"/>
      <c r="F15" s="245"/>
      <c r="G15" s="246"/>
      <c r="H15" s="245"/>
      <c r="I15" s="246"/>
      <c r="J15" s="245"/>
      <c r="K15" s="246"/>
      <c r="L15" s="36"/>
      <c r="M15" s="8"/>
      <c r="N15" s="123"/>
      <c r="O15" s="130"/>
      <c r="P15" s="130"/>
      <c r="Q15" s="131"/>
      <c r="R15" s="132"/>
      <c r="S15" s="133"/>
      <c r="T15" s="128"/>
      <c r="U15" s="128"/>
      <c r="V15" s="128"/>
      <c r="W15" s="124"/>
      <c r="X15" s="124"/>
      <c r="Y15" s="127"/>
      <c r="AD15" s="30">
        <f t="shared" si="1"/>
        <v>0</v>
      </c>
      <c r="AE15" s="30">
        <f t="shared" si="0"/>
        <v>0</v>
      </c>
      <c r="AF15" s="32">
        <f>IF(B15&lt;240,0.8,IF(B15=240,1,IF(B15&gt;240,4,"")))</f>
        <v>0.8</v>
      </c>
      <c r="AG15" s="30">
        <f t="shared" si="2"/>
        <v>0</v>
      </c>
    </row>
    <row r="16" spans="1:33" ht="12.75">
      <c r="A16" s="16"/>
      <c r="B16" s="37"/>
      <c r="C16" s="35"/>
      <c r="D16" s="35"/>
      <c r="E16" s="35"/>
      <c r="F16" s="245"/>
      <c r="G16" s="246"/>
      <c r="H16" s="245"/>
      <c r="I16" s="246"/>
      <c r="J16" s="245"/>
      <c r="K16" s="246"/>
      <c r="L16" s="36"/>
      <c r="M16" s="8"/>
      <c r="N16" s="123"/>
      <c r="O16" s="130"/>
      <c r="P16" s="130"/>
      <c r="Q16" s="131"/>
      <c r="R16" s="132"/>
      <c r="S16" s="133"/>
      <c r="T16" s="128"/>
      <c r="U16" s="128"/>
      <c r="V16" s="128"/>
      <c r="W16" s="124"/>
      <c r="X16" s="124"/>
      <c r="Y16" s="127"/>
      <c r="AD16" s="30">
        <f t="shared" si="1"/>
        <v>0</v>
      </c>
      <c r="AE16" s="30">
        <f t="shared" si="0"/>
        <v>0</v>
      </c>
      <c r="AF16" s="32">
        <f>IF(B16&lt;240,0.8,IF(B16=240,1,IF(B16&gt;240,4,"")))</f>
        <v>0.8</v>
      </c>
      <c r="AG16" s="30">
        <f t="shared" si="2"/>
        <v>0</v>
      </c>
    </row>
    <row r="17" spans="1:33" ht="12.75">
      <c r="A17" s="16"/>
      <c r="B17" s="37"/>
      <c r="C17" s="35"/>
      <c r="D17" s="35"/>
      <c r="E17" s="35"/>
      <c r="F17" s="245"/>
      <c r="G17" s="246"/>
      <c r="H17" s="245"/>
      <c r="I17" s="246"/>
      <c r="J17" s="245"/>
      <c r="K17" s="246"/>
      <c r="L17" s="36"/>
      <c r="M17" s="8"/>
      <c r="N17" s="123"/>
      <c r="O17" s="130"/>
      <c r="P17" s="130"/>
      <c r="Q17" s="131"/>
      <c r="R17" s="132"/>
      <c r="S17" s="133"/>
      <c r="T17" s="128"/>
      <c r="U17" s="128"/>
      <c r="V17" s="128"/>
      <c r="W17" s="124"/>
      <c r="X17" s="124"/>
      <c r="Y17" s="127"/>
      <c r="AD17" s="30">
        <f t="shared" si="1"/>
        <v>0</v>
      </c>
      <c r="AE17" s="30">
        <f t="shared" si="0"/>
        <v>0</v>
      </c>
      <c r="AF17" s="32">
        <f>IF(B17&lt;240,0.8,IF(B17=240,1,IF(B17&gt;240,4,"")))</f>
        <v>0.8</v>
      </c>
      <c r="AG17" s="30">
        <f t="shared" si="2"/>
        <v>0</v>
      </c>
    </row>
    <row r="18" spans="1:33" ht="12.75">
      <c r="A18" s="16"/>
      <c r="B18" s="7"/>
      <c r="C18" s="7"/>
      <c r="D18" s="7"/>
      <c r="E18" s="7"/>
      <c r="F18" s="7"/>
      <c r="G18" s="7"/>
      <c r="H18" s="7"/>
      <c r="I18" s="7"/>
      <c r="J18" s="7"/>
      <c r="K18" s="7"/>
      <c r="L18" s="7"/>
      <c r="M18" s="8"/>
      <c r="N18" s="123"/>
      <c r="O18" s="134" t="s">
        <v>113</v>
      </c>
      <c r="P18" s="124"/>
      <c r="Q18" s="146">
        <f>IF(OR(AD38=0,L32="",),"",(AD38-L39)/L32)</f>
      </c>
      <c r="R18" s="128" t="s">
        <v>217</v>
      </c>
      <c r="S18" s="137">
        <f>IF(Q18="","",IF(OR(Q18&lt;20,Q18&gt;200),"=&gt; Wert erscheint nach erster Prüfung auffällig, bitte auf Plausibilität prüfen!",""))</f>
      </c>
      <c r="T18" s="128"/>
      <c r="U18" s="128"/>
      <c r="V18" s="128"/>
      <c r="W18" s="124"/>
      <c r="X18" s="124"/>
      <c r="Y18" s="127"/>
      <c r="AC18" s="3" t="s">
        <v>121</v>
      </c>
      <c r="AD18" s="31">
        <f>SUM(AD10:AD17)</f>
        <v>0</v>
      </c>
      <c r="AE18" s="31">
        <f>SUM(AE10:AE17)</f>
        <v>0</v>
      </c>
      <c r="AF18" s="31"/>
      <c r="AG18" s="31">
        <f>SUM(AG10:AG17)</f>
        <v>0</v>
      </c>
    </row>
    <row r="19" spans="1:29" ht="12.75">
      <c r="A19" s="6" t="s">
        <v>147</v>
      </c>
      <c r="B19" s="12" t="s">
        <v>426</v>
      </c>
      <c r="C19" s="7"/>
      <c r="D19" s="7"/>
      <c r="E19" s="7"/>
      <c r="F19" s="7"/>
      <c r="G19" s="7"/>
      <c r="H19" s="7"/>
      <c r="I19" s="7"/>
      <c r="J19" s="7"/>
      <c r="K19" s="7"/>
      <c r="L19" s="7"/>
      <c r="M19" s="8"/>
      <c r="N19" s="123"/>
      <c r="O19" s="124" t="s">
        <v>525</v>
      </c>
      <c r="P19" s="124"/>
      <c r="Q19" s="129" t="str">
        <f>IF(AD38=0,"Kostenangabe fehlt!","")</f>
        <v>Kostenangabe fehlt!</v>
      </c>
      <c r="R19" s="128"/>
      <c r="S19" s="129" t="str">
        <f>IF(L32="","Mengenangabe fehlt!","")</f>
        <v>Mengenangabe fehlt!</v>
      </c>
      <c r="T19" s="128"/>
      <c r="U19" s="128"/>
      <c r="V19" s="128"/>
      <c r="W19" s="124"/>
      <c r="X19" s="124"/>
      <c r="Y19" s="127"/>
      <c r="AC19" s="3"/>
    </row>
    <row r="20" spans="1:29" ht="38.25">
      <c r="A20" s="16"/>
      <c r="B20" s="22" t="s">
        <v>71</v>
      </c>
      <c r="C20" s="23" t="s">
        <v>427</v>
      </c>
      <c r="D20" s="24"/>
      <c r="E20" s="24"/>
      <c r="F20" s="24"/>
      <c r="G20" s="24"/>
      <c r="H20" s="24"/>
      <c r="I20" s="24"/>
      <c r="J20" s="24"/>
      <c r="K20" s="25"/>
      <c r="L20" s="22" t="s">
        <v>109</v>
      </c>
      <c r="M20" s="8"/>
      <c r="N20" s="123"/>
      <c r="O20" s="130"/>
      <c r="P20" s="130"/>
      <c r="Q20" s="131"/>
      <c r="R20" s="132"/>
      <c r="S20" s="133"/>
      <c r="T20" s="128"/>
      <c r="U20" s="128"/>
      <c r="V20" s="128"/>
      <c r="W20" s="124"/>
      <c r="X20" s="124"/>
      <c r="Y20" s="127"/>
      <c r="AC20" s="3"/>
    </row>
    <row r="21" spans="1:29" ht="12.75">
      <c r="A21" s="16"/>
      <c r="B21" s="26"/>
      <c r="C21" s="14" t="s">
        <v>422</v>
      </c>
      <c r="D21" s="14" t="s">
        <v>423</v>
      </c>
      <c r="E21" s="14" t="s">
        <v>424</v>
      </c>
      <c r="F21" s="247" t="s">
        <v>425</v>
      </c>
      <c r="G21" s="248"/>
      <c r="H21" s="34"/>
      <c r="I21" s="14" t="s">
        <v>75</v>
      </c>
      <c r="J21" s="34"/>
      <c r="K21" s="14" t="s">
        <v>75</v>
      </c>
      <c r="L21" s="27"/>
      <c r="M21" s="8"/>
      <c r="N21" s="123"/>
      <c r="O21" s="134" t="s">
        <v>114</v>
      </c>
      <c r="P21" s="124"/>
      <c r="Q21" s="146">
        <f>IF(OR(AD38=0,Allgemeines!Q10=""),"",(AD38-L39)/Allgemeines!Q10)</f>
      </c>
      <c r="R21" s="128" t="s">
        <v>224</v>
      </c>
      <c r="S21" s="137">
        <f>IF(Q21="","",IF(OR(Q21&lt;-5,Q21&gt;50),"=&gt; Wert erscheint nach erster Prüfung auffällig, bitte auf Plausibilität prüfen!",""))</f>
      </c>
      <c r="T21" s="128"/>
      <c r="U21" s="128"/>
      <c r="V21" s="128"/>
      <c r="W21" s="124"/>
      <c r="X21" s="124"/>
      <c r="Y21" s="127"/>
      <c r="AC21" s="3"/>
    </row>
    <row r="22" spans="1:33" ht="12.75">
      <c r="A22" s="16"/>
      <c r="B22" s="28">
        <v>80</v>
      </c>
      <c r="C22" s="35"/>
      <c r="D22" s="35"/>
      <c r="E22" s="35"/>
      <c r="F22" s="245"/>
      <c r="G22" s="246"/>
      <c r="H22" s="245"/>
      <c r="I22" s="246"/>
      <c r="J22" s="245"/>
      <c r="K22" s="246"/>
      <c r="L22" s="36"/>
      <c r="M22" s="8"/>
      <c r="N22" s="123"/>
      <c r="O22" s="124" t="s">
        <v>525</v>
      </c>
      <c r="P22" s="124"/>
      <c r="Q22" s="129" t="str">
        <f>IF(AD38=0,"Kostenangabe fehlt!","")</f>
        <v>Kostenangabe fehlt!</v>
      </c>
      <c r="R22" s="128"/>
      <c r="S22" s="129" t="str">
        <f>IF(Allgemeines!Q10="","Angaben zu den Einwohnern fehlen!","")</f>
        <v>Angaben zu den Einwohnern fehlen!</v>
      </c>
      <c r="T22" s="128"/>
      <c r="U22" s="128"/>
      <c r="V22" s="128"/>
      <c r="W22" s="124"/>
      <c r="X22" s="124"/>
      <c r="Y22" s="127"/>
      <c r="AC22" s="3"/>
      <c r="AD22" s="30">
        <f>((C22*52)+(D22*26)+(E22*13)+(F22*(52/6))+(H22*$H$21)+(J22*$J$21))</f>
        <v>0</v>
      </c>
      <c r="AE22" s="30">
        <f aca="true" t="shared" si="3" ref="AE22:AE29">AD22*B22</f>
        <v>0</v>
      </c>
      <c r="AF22" s="32">
        <v>1.36</v>
      </c>
      <c r="AG22" s="30">
        <f aca="true" t="shared" si="4" ref="AG22:AG29">AD22*AF22</f>
        <v>0</v>
      </c>
    </row>
    <row r="23" spans="1:33" ht="12.75">
      <c r="A23" s="16"/>
      <c r="B23" s="28">
        <v>120</v>
      </c>
      <c r="C23" s="35"/>
      <c r="D23" s="35"/>
      <c r="E23" s="35"/>
      <c r="F23" s="245"/>
      <c r="G23" s="246"/>
      <c r="H23" s="245"/>
      <c r="I23" s="246"/>
      <c r="J23" s="245"/>
      <c r="K23" s="246"/>
      <c r="L23" s="36"/>
      <c r="M23" s="8"/>
      <c r="N23" s="123"/>
      <c r="O23" s="130"/>
      <c r="P23" s="130"/>
      <c r="Q23" s="131"/>
      <c r="R23" s="132"/>
      <c r="S23" s="133"/>
      <c r="T23" s="128"/>
      <c r="U23" s="128"/>
      <c r="V23" s="128"/>
      <c r="W23" s="124"/>
      <c r="X23" s="124"/>
      <c r="Y23" s="127"/>
      <c r="AC23" s="3"/>
      <c r="AD23" s="30">
        <f aca="true" t="shared" si="5" ref="AD23:AD29">((C23*52)+(D23*26)+(E23*13)+(F23*(52/6))+(H23*$H$21)+(J23*$J$21))</f>
        <v>0</v>
      </c>
      <c r="AE23" s="30">
        <f t="shared" si="3"/>
        <v>0</v>
      </c>
      <c r="AF23" s="32">
        <v>1.36</v>
      </c>
      <c r="AG23" s="30">
        <f t="shared" si="4"/>
        <v>0</v>
      </c>
    </row>
    <row r="24" spans="1:33" ht="12.75">
      <c r="A24" s="16"/>
      <c r="B24" s="28">
        <v>240</v>
      </c>
      <c r="C24" s="35"/>
      <c r="D24" s="35"/>
      <c r="E24" s="35"/>
      <c r="F24" s="245"/>
      <c r="G24" s="246"/>
      <c r="H24" s="245"/>
      <c r="I24" s="246"/>
      <c r="J24" s="245"/>
      <c r="K24" s="246"/>
      <c r="L24" s="36"/>
      <c r="M24" s="8"/>
      <c r="N24" s="123"/>
      <c r="O24" s="134" t="s">
        <v>219</v>
      </c>
      <c r="P24" s="124"/>
      <c r="Q24" s="146">
        <f>IF(OR(Altpapier!AG31=0,Altpapier!L35=""),"",Altpapier!L35/Altpapier!AG31)</f>
      </c>
      <c r="R24" s="128" t="s">
        <v>112</v>
      </c>
      <c r="S24" s="137">
        <f>IF(Q24="","",IF(OR(Q24&lt;0.2,Q24&gt;7),"=&gt; Wert erscheint nach erster Prüfung auffällig, bitte auf Plausibilität prüfen!",""))</f>
      </c>
      <c r="T24" s="128"/>
      <c r="U24" s="128"/>
      <c r="V24" s="128"/>
      <c r="W24" s="124"/>
      <c r="X24" s="124"/>
      <c r="Y24" s="127"/>
      <c r="AC24" s="3"/>
      <c r="AD24" s="30">
        <f t="shared" si="5"/>
        <v>0</v>
      </c>
      <c r="AE24" s="30">
        <f t="shared" si="3"/>
        <v>0</v>
      </c>
      <c r="AF24" s="32">
        <v>1.7</v>
      </c>
      <c r="AG24" s="30">
        <f t="shared" si="4"/>
        <v>0</v>
      </c>
    </row>
    <row r="25" spans="1:33" ht="12.75">
      <c r="A25" s="16"/>
      <c r="B25" s="28">
        <v>770</v>
      </c>
      <c r="C25" s="35"/>
      <c r="D25" s="35"/>
      <c r="E25" s="35"/>
      <c r="F25" s="245"/>
      <c r="G25" s="246"/>
      <c r="H25" s="245"/>
      <c r="I25" s="246"/>
      <c r="J25" s="245"/>
      <c r="K25" s="246"/>
      <c r="L25" s="36"/>
      <c r="M25" s="8"/>
      <c r="N25" s="123"/>
      <c r="O25" s="124"/>
      <c r="P25" s="124"/>
      <c r="Q25" s="129" t="str">
        <f>IF(L35="","Kostenangabe fehlt!","")</f>
        <v>Kostenangabe fehlt!</v>
      </c>
      <c r="R25" s="128"/>
      <c r="S25" s="129" t="str">
        <f>IF(AE31=0,"Behälterangaben fehlen!","")</f>
        <v>Behälterangaben fehlen!</v>
      </c>
      <c r="T25" s="128"/>
      <c r="U25" s="128"/>
      <c r="V25" s="128"/>
      <c r="W25" s="124"/>
      <c r="X25" s="124"/>
      <c r="Y25" s="127"/>
      <c r="AC25" s="3"/>
      <c r="AD25" s="30">
        <f>((C25*52)+(D25*26)+(E25*13)+(F25*(52/6))+(H25*$H$21)+(J25*$J$21))</f>
        <v>0</v>
      </c>
      <c r="AE25" s="30">
        <f t="shared" si="3"/>
        <v>0</v>
      </c>
      <c r="AF25" s="32">
        <v>4</v>
      </c>
      <c r="AG25" s="30">
        <f t="shared" si="4"/>
        <v>0</v>
      </c>
    </row>
    <row r="26" spans="1:33" ht="12.75">
      <c r="A26" s="16"/>
      <c r="B26" s="28">
        <v>1100</v>
      </c>
      <c r="C26" s="35"/>
      <c r="D26" s="35"/>
      <c r="E26" s="35"/>
      <c r="F26" s="245"/>
      <c r="G26" s="246"/>
      <c r="H26" s="245"/>
      <c r="I26" s="246"/>
      <c r="J26" s="245"/>
      <c r="K26" s="246"/>
      <c r="L26" s="36"/>
      <c r="M26" s="8"/>
      <c r="N26" s="123"/>
      <c r="O26" s="124"/>
      <c r="P26" s="124"/>
      <c r="Q26" s="125"/>
      <c r="R26" s="128"/>
      <c r="S26" s="129"/>
      <c r="T26" s="128"/>
      <c r="U26" s="128"/>
      <c r="V26" s="128"/>
      <c r="W26" s="124"/>
      <c r="X26" s="124"/>
      <c r="Y26" s="127"/>
      <c r="AC26" s="3"/>
      <c r="AD26" s="30">
        <f t="shared" si="5"/>
        <v>0</v>
      </c>
      <c r="AE26" s="30">
        <f>AD26*B26</f>
        <v>0</v>
      </c>
      <c r="AF26" s="32">
        <v>4</v>
      </c>
      <c r="AG26" s="30">
        <f>AD26*AF26</f>
        <v>0</v>
      </c>
    </row>
    <row r="27" spans="1:33" ht="12.75">
      <c r="A27" s="16"/>
      <c r="B27" s="37"/>
      <c r="C27" s="35"/>
      <c r="D27" s="35"/>
      <c r="E27" s="35"/>
      <c r="F27" s="245"/>
      <c r="G27" s="246"/>
      <c r="H27" s="245"/>
      <c r="I27" s="246"/>
      <c r="J27" s="245"/>
      <c r="K27" s="246"/>
      <c r="L27" s="36"/>
      <c r="M27" s="8"/>
      <c r="N27" s="123"/>
      <c r="O27" s="134" t="s">
        <v>257</v>
      </c>
      <c r="P27" s="124"/>
      <c r="Q27" s="146">
        <f>IF(OR(L39="",L32=""),"",L39/L32)</f>
      </c>
      <c r="R27" s="128" t="s">
        <v>217</v>
      </c>
      <c r="S27" s="137">
        <f>IF(Q27="","",IF(OR(Q27&lt;5,Q27&gt;150),"=&gt; Wert erscheint nach erster Prüfung auffällig, bitte auf Plausibilität prüfen!",""))</f>
      </c>
      <c r="T27" s="128"/>
      <c r="U27" s="128"/>
      <c r="V27" s="128"/>
      <c r="W27" s="124"/>
      <c r="X27" s="124"/>
      <c r="Y27" s="127"/>
      <c r="AC27" s="3"/>
      <c r="AD27" s="30">
        <f t="shared" si="5"/>
        <v>0</v>
      </c>
      <c r="AE27" s="30">
        <f t="shared" si="3"/>
        <v>0</v>
      </c>
      <c r="AF27" s="32">
        <f>IF(B27&lt;240,1.36,IF(B27=240,1.7,IF(B27&gt;240,4,"")))</f>
        <v>1.36</v>
      </c>
      <c r="AG27" s="30">
        <f t="shared" si="4"/>
        <v>0</v>
      </c>
    </row>
    <row r="28" spans="1:33" ht="12.75">
      <c r="A28" s="16"/>
      <c r="B28" s="37"/>
      <c r="C28" s="35"/>
      <c r="D28" s="35"/>
      <c r="E28" s="35"/>
      <c r="F28" s="245"/>
      <c r="G28" s="246"/>
      <c r="H28" s="245"/>
      <c r="I28" s="246"/>
      <c r="J28" s="245"/>
      <c r="K28" s="246"/>
      <c r="L28" s="36"/>
      <c r="M28" s="8"/>
      <c r="N28" s="123"/>
      <c r="O28" s="124"/>
      <c r="P28" s="124"/>
      <c r="Q28" s="129" t="str">
        <f>IF(L39="","Angabe Erlöse fehlt!","")</f>
        <v>Angabe Erlöse fehlt!</v>
      </c>
      <c r="R28" s="128"/>
      <c r="S28" s="129" t="str">
        <f>IF(L32="","Mengenangabe fehlt!","")</f>
        <v>Mengenangabe fehlt!</v>
      </c>
      <c r="T28" s="128"/>
      <c r="U28" s="128"/>
      <c r="V28" s="128"/>
      <c r="W28" s="124"/>
      <c r="X28" s="124"/>
      <c r="Y28" s="127"/>
      <c r="AC28" s="3"/>
      <c r="AD28" s="30">
        <f t="shared" si="5"/>
        <v>0</v>
      </c>
      <c r="AE28" s="30">
        <f t="shared" si="3"/>
        <v>0</v>
      </c>
      <c r="AF28" s="32">
        <f>IF(B28&lt;240,1.36,IF(B28=240,1.7,IF(B28&gt;240,4,"")))</f>
        <v>1.36</v>
      </c>
      <c r="AG28" s="30">
        <f t="shared" si="4"/>
        <v>0</v>
      </c>
    </row>
    <row r="29" spans="1:33" ht="12.75">
      <c r="A29" s="16"/>
      <c r="B29" s="37"/>
      <c r="C29" s="35"/>
      <c r="D29" s="35"/>
      <c r="E29" s="35"/>
      <c r="F29" s="245"/>
      <c r="G29" s="246"/>
      <c r="H29" s="245"/>
      <c r="I29" s="246"/>
      <c r="J29" s="245"/>
      <c r="K29" s="246"/>
      <c r="L29" s="36"/>
      <c r="M29" s="8"/>
      <c r="N29" s="123"/>
      <c r="O29" s="124"/>
      <c r="P29" s="124"/>
      <c r="Q29" s="125"/>
      <c r="R29" s="128"/>
      <c r="S29" s="129"/>
      <c r="T29" s="128"/>
      <c r="U29" s="128"/>
      <c r="V29" s="128"/>
      <c r="W29" s="124"/>
      <c r="X29" s="124"/>
      <c r="Y29" s="127"/>
      <c r="AC29" s="3"/>
      <c r="AD29" s="30">
        <f t="shared" si="5"/>
        <v>0</v>
      </c>
      <c r="AE29" s="30">
        <f t="shared" si="3"/>
        <v>0</v>
      </c>
      <c r="AF29" s="32">
        <f>IF(B29&lt;240,1.36,IF(B29=240,1.7,IF(B29&gt;240,4,"")))</f>
        <v>1.36</v>
      </c>
      <c r="AG29" s="30">
        <f t="shared" si="4"/>
        <v>0</v>
      </c>
    </row>
    <row r="30" spans="1:33" ht="12.75">
      <c r="A30" s="16"/>
      <c r="B30" s="7"/>
      <c r="C30" s="7"/>
      <c r="D30" s="7"/>
      <c r="E30" s="7"/>
      <c r="F30" s="7"/>
      <c r="G30" s="7"/>
      <c r="H30" s="7"/>
      <c r="I30" s="7"/>
      <c r="J30" s="7"/>
      <c r="K30" s="7"/>
      <c r="L30" s="7"/>
      <c r="M30" s="8"/>
      <c r="N30" s="123"/>
      <c r="O30" s="124"/>
      <c r="P30" s="124"/>
      <c r="Q30" s="125"/>
      <c r="R30" s="128"/>
      <c r="S30" s="129"/>
      <c r="T30" s="128"/>
      <c r="U30" s="128"/>
      <c r="V30" s="128"/>
      <c r="W30" s="124"/>
      <c r="X30" s="124"/>
      <c r="Y30" s="127"/>
      <c r="AC30" s="3" t="s">
        <v>120</v>
      </c>
      <c r="AD30" s="31">
        <f>SUM(AD22:AD29)</f>
        <v>0</v>
      </c>
      <c r="AE30" s="31">
        <f>SUM(AE22:AE29)</f>
        <v>0</v>
      </c>
      <c r="AF30" s="31"/>
      <c r="AG30" s="31">
        <f>SUM(AG22:AG29)</f>
        <v>0</v>
      </c>
    </row>
    <row r="31" spans="1:33" ht="15.75">
      <c r="A31" s="9" t="s">
        <v>148</v>
      </c>
      <c r="B31" s="10" t="s">
        <v>261</v>
      </c>
      <c r="C31" s="7"/>
      <c r="D31" s="7"/>
      <c r="E31" s="7"/>
      <c r="F31" s="7"/>
      <c r="G31" s="7"/>
      <c r="H31" s="7"/>
      <c r="I31" s="7"/>
      <c r="J31" s="7"/>
      <c r="K31" s="7"/>
      <c r="L31" s="7"/>
      <c r="M31" s="8"/>
      <c r="N31" s="123"/>
      <c r="O31" s="124"/>
      <c r="P31" s="124"/>
      <c r="Q31" s="125"/>
      <c r="R31" s="124"/>
      <c r="S31" s="126"/>
      <c r="T31" s="124"/>
      <c r="U31" s="124"/>
      <c r="V31" s="124"/>
      <c r="W31" s="124"/>
      <c r="X31" s="124"/>
      <c r="Y31" s="127"/>
      <c r="AC31" s="3" t="s">
        <v>122</v>
      </c>
      <c r="AD31" s="31">
        <f>AD18+AD30</f>
        <v>0</v>
      </c>
      <c r="AE31" s="31">
        <f>AE18+AE30</f>
        <v>0</v>
      </c>
      <c r="AF31" s="31"/>
      <c r="AG31" s="31">
        <f>AG18+AG30</f>
        <v>0</v>
      </c>
    </row>
    <row r="32" spans="1:25" ht="12.75">
      <c r="A32" s="6"/>
      <c r="B32" s="12" t="s">
        <v>216</v>
      </c>
      <c r="C32" s="7"/>
      <c r="D32" s="7"/>
      <c r="E32" s="7"/>
      <c r="F32" s="7"/>
      <c r="G32" s="7"/>
      <c r="H32" s="7"/>
      <c r="I32" s="7"/>
      <c r="J32" s="7"/>
      <c r="K32" s="8"/>
      <c r="L32" s="38"/>
      <c r="M32" s="8" t="s">
        <v>242</v>
      </c>
      <c r="N32" s="123"/>
      <c r="O32" s="124"/>
      <c r="P32" s="124"/>
      <c r="Q32" s="125"/>
      <c r="R32" s="124"/>
      <c r="S32" s="126"/>
      <c r="T32" s="124"/>
      <c r="U32" s="124"/>
      <c r="V32" s="124"/>
      <c r="W32" s="124"/>
      <c r="X32" s="124"/>
      <c r="Y32" s="127"/>
    </row>
    <row r="33" spans="1:25" ht="12.75">
      <c r="A33" s="16"/>
      <c r="B33" s="7"/>
      <c r="C33" s="7"/>
      <c r="D33" s="7"/>
      <c r="E33" s="7"/>
      <c r="F33" s="7"/>
      <c r="G33" s="7"/>
      <c r="H33" s="7"/>
      <c r="I33" s="7"/>
      <c r="J33" s="7"/>
      <c r="K33" s="7"/>
      <c r="L33" s="7"/>
      <c r="M33" s="8"/>
      <c r="N33" s="123"/>
      <c r="O33" s="124"/>
      <c r="P33" s="124"/>
      <c r="Q33" s="125"/>
      <c r="R33" s="124"/>
      <c r="S33" s="126"/>
      <c r="T33" s="124"/>
      <c r="U33" s="124"/>
      <c r="V33" s="124"/>
      <c r="W33" s="124"/>
      <c r="X33" s="124"/>
      <c r="Y33" s="127"/>
    </row>
    <row r="34" spans="1:32" ht="15.75">
      <c r="A34" s="9" t="s">
        <v>149</v>
      </c>
      <c r="B34" s="10" t="s">
        <v>251</v>
      </c>
      <c r="C34" s="7"/>
      <c r="D34" s="7"/>
      <c r="E34" s="7"/>
      <c r="F34" s="7"/>
      <c r="G34" s="7"/>
      <c r="H34" s="7"/>
      <c r="I34" s="7"/>
      <c r="J34" s="7"/>
      <c r="K34" s="7"/>
      <c r="L34" s="7"/>
      <c r="M34" s="8"/>
      <c r="N34" s="123"/>
      <c r="O34" s="124"/>
      <c r="P34" s="124"/>
      <c r="Q34" s="125"/>
      <c r="R34" s="124"/>
      <c r="S34" s="126"/>
      <c r="T34" s="124"/>
      <c r="U34" s="124"/>
      <c r="V34" s="124"/>
      <c r="W34" s="124"/>
      <c r="X34" s="124"/>
      <c r="Y34" s="127"/>
      <c r="AF34" s="32"/>
    </row>
    <row r="35" spans="1:32" ht="12.75">
      <c r="A35" s="6" t="s">
        <v>150</v>
      </c>
      <c r="B35" s="12" t="s">
        <v>511</v>
      </c>
      <c r="C35" s="7"/>
      <c r="D35" s="7"/>
      <c r="E35" s="7"/>
      <c r="F35" s="7"/>
      <c r="G35" s="7"/>
      <c r="H35" s="7"/>
      <c r="I35" s="7"/>
      <c r="J35" s="7"/>
      <c r="K35" s="8"/>
      <c r="L35" s="39"/>
      <c r="M35" s="8" t="s">
        <v>76</v>
      </c>
      <c r="N35" s="123"/>
      <c r="O35" s="124"/>
      <c r="P35" s="124"/>
      <c r="Q35" s="125"/>
      <c r="R35" s="124"/>
      <c r="S35" s="126"/>
      <c r="T35" s="124"/>
      <c r="U35" s="124"/>
      <c r="V35" s="124"/>
      <c r="W35" s="124"/>
      <c r="X35" s="124"/>
      <c r="Y35" s="127"/>
      <c r="AF35" s="32"/>
    </row>
    <row r="36" spans="1:32" ht="12.75">
      <c r="A36" s="6" t="s">
        <v>151</v>
      </c>
      <c r="B36" s="12" t="s">
        <v>512</v>
      </c>
      <c r="C36" s="7"/>
      <c r="D36" s="7"/>
      <c r="E36" s="7"/>
      <c r="F36" s="7"/>
      <c r="G36" s="7"/>
      <c r="H36" s="7"/>
      <c r="I36" s="7"/>
      <c r="J36" s="7"/>
      <c r="K36" s="8"/>
      <c r="L36" s="39"/>
      <c r="M36" s="8" t="s">
        <v>76</v>
      </c>
      <c r="N36" s="123"/>
      <c r="O36" s="124"/>
      <c r="P36" s="124"/>
      <c r="Q36" s="125"/>
      <c r="R36" s="124"/>
      <c r="S36" s="126"/>
      <c r="T36" s="124"/>
      <c r="U36" s="124"/>
      <c r="V36" s="124"/>
      <c r="W36" s="124"/>
      <c r="X36" s="124"/>
      <c r="Y36" s="127"/>
      <c r="AF36" s="32"/>
    </row>
    <row r="37" spans="1:32" ht="12.75">
      <c r="A37" s="6" t="s">
        <v>152</v>
      </c>
      <c r="B37" s="12" t="s">
        <v>524</v>
      </c>
      <c r="C37" s="7"/>
      <c r="D37" s="7"/>
      <c r="E37" s="7"/>
      <c r="F37" s="7"/>
      <c r="G37" s="7"/>
      <c r="H37" s="7"/>
      <c r="I37" s="7"/>
      <c r="J37" s="7"/>
      <c r="K37" s="8"/>
      <c r="L37" s="173">
        <f>IF(OR(L35="",L36=""),"",SUM(L35:L36))</f>
      </c>
      <c r="M37" s="8" t="s">
        <v>76</v>
      </c>
      <c r="N37" s="123"/>
      <c r="O37" s="124"/>
      <c r="P37" s="124"/>
      <c r="Q37" s="125"/>
      <c r="R37" s="124"/>
      <c r="S37" s="126"/>
      <c r="T37" s="124"/>
      <c r="U37" s="124"/>
      <c r="V37" s="124"/>
      <c r="W37" s="124"/>
      <c r="X37" s="124"/>
      <c r="Y37" s="127"/>
      <c r="AF37" s="32"/>
    </row>
    <row r="38" spans="1:32" ht="12.75">
      <c r="A38" s="6"/>
      <c r="B38" s="12" t="s">
        <v>513</v>
      </c>
      <c r="C38" s="7"/>
      <c r="D38" s="7"/>
      <c r="E38" s="7"/>
      <c r="F38" s="7"/>
      <c r="G38" s="7"/>
      <c r="H38" s="7"/>
      <c r="I38" s="7"/>
      <c r="J38" s="7"/>
      <c r="K38" s="8"/>
      <c r="L38" s="39"/>
      <c r="M38" s="8" t="s">
        <v>76</v>
      </c>
      <c r="N38" s="123"/>
      <c r="O38" s="124"/>
      <c r="P38" s="124"/>
      <c r="Q38" s="125"/>
      <c r="R38" s="124"/>
      <c r="S38" s="126"/>
      <c r="T38" s="124"/>
      <c r="U38" s="124"/>
      <c r="V38" s="124"/>
      <c r="W38" s="124"/>
      <c r="X38" s="124"/>
      <c r="Y38" s="127"/>
      <c r="AC38" s="172" t="s">
        <v>399</v>
      </c>
      <c r="AD38" s="171">
        <f>IF(L37="",L38,IF(L38="",L37,IF(AND(L37=0,L38=""),0,IF(AND(L37&gt;0,L38&gt;0),L37,0))))</f>
        <v>0</v>
      </c>
      <c r="AF38" s="32"/>
    </row>
    <row r="39" spans="1:32" ht="12.75">
      <c r="A39" s="6" t="s">
        <v>153</v>
      </c>
      <c r="B39" s="12" t="s">
        <v>256</v>
      </c>
      <c r="C39" s="7"/>
      <c r="D39" s="7"/>
      <c r="E39" s="7"/>
      <c r="F39" s="7"/>
      <c r="G39" s="7"/>
      <c r="H39" s="7"/>
      <c r="I39" s="7"/>
      <c r="J39" s="7"/>
      <c r="K39" s="8"/>
      <c r="L39" s="39"/>
      <c r="M39" s="8" t="s">
        <v>76</v>
      </c>
      <c r="N39" s="123"/>
      <c r="O39" s="124"/>
      <c r="P39" s="124"/>
      <c r="Q39" s="125"/>
      <c r="R39" s="124"/>
      <c r="S39" s="126"/>
      <c r="T39" s="124"/>
      <c r="U39" s="124"/>
      <c r="V39" s="124"/>
      <c r="W39" s="124"/>
      <c r="X39" s="124"/>
      <c r="Y39" s="127"/>
      <c r="AF39" s="32"/>
    </row>
    <row r="40" spans="1:32" ht="12.75">
      <c r="A40" s="18"/>
      <c r="B40" s="19"/>
      <c r="C40" s="19"/>
      <c r="D40" s="19"/>
      <c r="E40" s="19"/>
      <c r="F40" s="19"/>
      <c r="G40" s="19"/>
      <c r="H40" s="19"/>
      <c r="I40" s="19"/>
      <c r="J40" s="19"/>
      <c r="K40" s="19"/>
      <c r="L40" s="19"/>
      <c r="M40" s="20"/>
      <c r="N40" s="139"/>
      <c r="O40" s="140"/>
      <c r="P40" s="140"/>
      <c r="Q40" s="141"/>
      <c r="R40" s="140"/>
      <c r="S40" s="142"/>
      <c r="T40" s="140"/>
      <c r="U40" s="140"/>
      <c r="V40" s="140"/>
      <c r="W40" s="140"/>
      <c r="X40" s="140"/>
      <c r="Y40" s="143"/>
      <c r="AF40" s="32"/>
    </row>
    <row r="41" ht="12.75">
      <c r="AF41" s="32"/>
    </row>
    <row r="42" ht="12.75">
      <c r="AF42" s="32"/>
    </row>
    <row r="43" ht="12.75"/>
    <row r="44" ht="12.75"/>
  </sheetData>
  <sheetProtection password="CF5B" sheet="1" objects="1" scenarios="1" selectLockedCells="1"/>
  <mergeCells count="50">
    <mergeCell ref="F28:G28"/>
    <mergeCell ref="F29:G29"/>
    <mergeCell ref="J28:K28"/>
    <mergeCell ref="J29:K29"/>
    <mergeCell ref="J24:K24"/>
    <mergeCell ref="J25:K25"/>
    <mergeCell ref="J26:K26"/>
    <mergeCell ref="J27:K27"/>
    <mergeCell ref="H24:I24"/>
    <mergeCell ref="H25:I25"/>
    <mergeCell ref="F9:G9"/>
    <mergeCell ref="F21:G21"/>
    <mergeCell ref="F24:G24"/>
    <mergeCell ref="F25:G25"/>
    <mergeCell ref="H22:I22"/>
    <mergeCell ref="H23:I23"/>
    <mergeCell ref="H15:I15"/>
    <mergeCell ref="H16:I16"/>
    <mergeCell ref="H26:I26"/>
    <mergeCell ref="H27:I27"/>
    <mergeCell ref="H28:I28"/>
    <mergeCell ref="H29:I29"/>
    <mergeCell ref="F26:G26"/>
    <mergeCell ref="F27:G27"/>
    <mergeCell ref="J16:K16"/>
    <mergeCell ref="J17:K17"/>
    <mergeCell ref="F22:G22"/>
    <mergeCell ref="F23:G23"/>
    <mergeCell ref="J22:K22"/>
    <mergeCell ref="J23:K23"/>
    <mergeCell ref="F16:G16"/>
    <mergeCell ref="F17:G17"/>
    <mergeCell ref="J12:K12"/>
    <mergeCell ref="J13:K13"/>
    <mergeCell ref="J14:K14"/>
    <mergeCell ref="J15:K15"/>
    <mergeCell ref="H17:I17"/>
    <mergeCell ref="F12:G12"/>
    <mergeCell ref="F13:G13"/>
    <mergeCell ref="F14:G14"/>
    <mergeCell ref="F15:G15"/>
    <mergeCell ref="H12:I12"/>
    <mergeCell ref="H13:I13"/>
    <mergeCell ref="H14:I14"/>
    <mergeCell ref="F10:G10"/>
    <mergeCell ref="H10:I10"/>
    <mergeCell ref="J10:K10"/>
    <mergeCell ref="F11:G11"/>
    <mergeCell ref="J11:K11"/>
    <mergeCell ref="H11:I11"/>
  </mergeCells>
  <dataValidations count="1">
    <dataValidation type="list" allowBlank="1" showInputMessage="1" showErrorMessage="1" sqref="L10:L17 L22:L29">
      <formula1>$AA$10:$AA$13</formula1>
    </dataValidation>
  </dataValidations>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3" max="65535" man="1"/>
  </colBreaks>
  <drawing r:id="rId3"/>
  <legacyDrawing r:id="rId2"/>
</worksheet>
</file>

<file path=xl/worksheets/sheet9.xml><?xml version="1.0" encoding="utf-8"?>
<worksheet xmlns="http://schemas.openxmlformats.org/spreadsheetml/2006/main" xmlns:r="http://schemas.openxmlformats.org/officeDocument/2006/relationships">
  <dimension ref="A1:Y66"/>
  <sheetViews>
    <sheetView showGridLines="0" workbookViewId="0" topLeftCell="A40">
      <selection activeCell="G48" sqref="G48"/>
    </sheetView>
  </sheetViews>
  <sheetFormatPr defaultColWidth="11.421875" defaultRowHeight="12.75"/>
  <cols>
    <col min="1" max="1" width="8.140625" style="2" customWidth="1"/>
    <col min="2" max="2" width="3.28125" style="1" customWidth="1"/>
    <col min="3" max="3" width="10.8515625" style="1" customWidth="1"/>
    <col min="4" max="5" width="12.28125" style="1" customWidth="1"/>
    <col min="6" max="6" width="11.421875" style="1" customWidth="1"/>
    <col min="7" max="7" width="13.00390625" style="1" customWidth="1"/>
    <col min="8" max="9" width="11.421875" style="1" customWidth="1"/>
    <col min="10" max="10" width="10.57421875" style="1" customWidth="1"/>
    <col min="11" max="13" width="11.421875" style="1" customWidth="1"/>
    <col min="14" max="14" width="4.00390625" style="1" customWidth="1"/>
    <col min="15" max="15" width="23.28125" style="85" customWidth="1"/>
    <col min="16" max="17" width="11.421875" style="85" customWidth="1"/>
    <col min="18" max="18" width="11.57421875" style="85" bestFit="1" customWidth="1"/>
    <col min="19" max="19" width="11.421875" style="85" customWidth="1"/>
    <col min="20" max="20" width="11.421875" style="40" customWidth="1"/>
    <col min="21" max="24" width="11.421875" style="85" customWidth="1"/>
    <col min="25" max="16384" width="11.421875" style="1" customWidth="1"/>
  </cols>
  <sheetData>
    <row r="1" spans="1:25" ht="15.75">
      <c r="A1" s="29" t="str">
        <f>Allgemeines!A1</f>
        <v>Steirischer Abfallspiegel - Datenerhebung</v>
      </c>
      <c r="B1" s="4"/>
      <c r="C1" s="4"/>
      <c r="D1" s="4"/>
      <c r="E1" s="4"/>
      <c r="F1" s="4"/>
      <c r="G1" s="4"/>
      <c r="H1" s="4"/>
      <c r="I1" s="4"/>
      <c r="J1" s="4"/>
      <c r="K1" s="4"/>
      <c r="L1" s="4"/>
      <c r="M1" s="5"/>
      <c r="N1" s="118" t="s">
        <v>382</v>
      </c>
      <c r="O1" s="157"/>
      <c r="P1" s="157"/>
      <c r="Q1" s="157"/>
      <c r="R1" s="157"/>
      <c r="S1" s="157"/>
      <c r="T1" s="120"/>
      <c r="U1" s="157"/>
      <c r="V1" s="157"/>
      <c r="W1" s="157"/>
      <c r="X1" s="157"/>
      <c r="Y1" s="122"/>
    </row>
    <row r="2" spans="1:25" ht="12.75">
      <c r="A2" s="6" t="s">
        <v>77</v>
      </c>
      <c r="B2" s="7"/>
      <c r="C2" s="7"/>
      <c r="D2" s="21">
        <f>IF(Allgemeines!F12="","Unter Allgemeines wurde kein Untersuchungsjahr ausgewählt!",Allgemeines!F12)</f>
        <v>2008</v>
      </c>
      <c r="E2" s="7"/>
      <c r="F2" s="7"/>
      <c r="G2" s="7"/>
      <c r="H2" s="7"/>
      <c r="I2" s="7"/>
      <c r="J2" s="7"/>
      <c r="K2" s="7"/>
      <c r="L2" s="7"/>
      <c r="M2" s="8"/>
      <c r="N2" s="123"/>
      <c r="O2" s="128"/>
      <c r="P2" s="128"/>
      <c r="Q2" s="128"/>
      <c r="R2" s="128"/>
      <c r="S2" s="128"/>
      <c r="T2" s="125"/>
      <c r="U2" s="128"/>
      <c r="V2" s="128"/>
      <c r="W2" s="128"/>
      <c r="X2" s="128"/>
      <c r="Y2" s="127"/>
    </row>
    <row r="3" spans="1:25" ht="9.75" customHeight="1">
      <c r="A3" s="6"/>
      <c r="B3" s="7"/>
      <c r="C3" s="7"/>
      <c r="D3" s="7"/>
      <c r="E3" s="7"/>
      <c r="F3" s="7"/>
      <c r="G3" s="7"/>
      <c r="H3" s="7"/>
      <c r="I3" s="7"/>
      <c r="J3" s="7"/>
      <c r="K3" s="7"/>
      <c r="L3" s="7"/>
      <c r="M3" s="8"/>
      <c r="N3" s="123"/>
      <c r="O3" s="128"/>
      <c r="P3" s="128"/>
      <c r="Q3" s="128"/>
      <c r="R3" s="128"/>
      <c r="S3" s="128"/>
      <c r="T3" s="125"/>
      <c r="U3" s="128"/>
      <c r="V3" s="128"/>
      <c r="W3" s="128"/>
      <c r="X3" s="128"/>
      <c r="Y3" s="127"/>
    </row>
    <row r="4" spans="1:25" ht="15.75">
      <c r="A4" s="9" t="s">
        <v>270</v>
      </c>
      <c r="B4" s="10"/>
      <c r="C4" s="10"/>
      <c r="D4" s="7"/>
      <c r="E4" s="7"/>
      <c r="F4" s="7"/>
      <c r="G4" s="7"/>
      <c r="H4" s="7"/>
      <c r="I4" s="7"/>
      <c r="J4" s="7"/>
      <c r="K4" s="7"/>
      <c r="L4" s="7"/>
      <c r="M4" s="8"/>
      <c r="N4" s="123"/>
      <c r="O4" s="128"/>
      <c r="P4" s="128"/>
      <c r="Q4" s="128"/>
      <c r="R4" s="128"/>
      <c r="S4" s="128"/>
      <c r="T4" s="125"/>
      <c r="U4" s="128"/>
      <c r="V4" s="128"/>
      <c r="W4" s="128"/>
      <c r="X4" s="128"/>
      <c r="Y4" s="127"/>
    </row>
    <row r="5" spans="1:25" ht="10.5" customHeight="1">
      <c r="A5" s="11"/>
      <c r="B5" s="7"/>
      <c r="C5" s="7"/>
      <c r="D5" s="7"/>
      <c r="E5" s="7"/>
      <c r="F5" s="7"/>
      <c r="G5" s="7"/>
      <c r="H5" s="7"/>
      <c r="I5" s="7"/>
      <c r="J5" s="7"/>
      <c r="K5" s="7"/>
      <c r="L5" s="7"/>
      <c r="M5" s="72">
        <f>Altpapier!M5+1</f>
        <v>6</v>
      </c>
      <c r="N5" s="123"/>
      <c r="O5" s="128"/>
      <c r="P5" s="128"/>
      <c r="Q5" s="128"/>
      <c r="R5" s="128"/>
      <c r="S5" s="128"/>
      <c r="T5" s="125"/>
      <c r="U5" s="128"/>
      <c r="V5" s="128"/>
      <c r="W5" s="128"/>
      <c r="X5" s="128"/>
      <c r="Y5" s="127"/>
    </row>
    <row r="6" spans="1:25" ht="15.75">
      <c r="A6" s="9" t="s">
        <v>271</v>
      </c>
      <c r="B6" s="10" t="s">
        <v>299</v>
      </c>
      <c r="C6" s="7"/>
      <c r="D6" s="7"/>
      <c r="E6" s="7"/>
      <c r="F6" s="7"/>
      <c r="G6" s="7"/>
      <c r="H6" s="7"/>
      <c r="I6" s="7"/>
      <c r="J6" s="7"/>
      <c r="K6" s="7"/>
      <c r="L6" s="7"/>
      <c r="M6" s="8"/>
      <c r="N6" s="123"/>
      <c r="O6" s="128"/>
      <c r="P6" s="128"/>
      <c r="Q6" s="128"/>
      <c r="R6" s="128"/>
      <c r="S6" s="128"/>
      <c r="T6" s="125"/>
      <c r="U6" s="128"/>
      <c r="V6" s="128"/>
      <c r="W6" s="128"/>
      <c r="X6" s="128"/>
      <c r="Y6" s="127"/>
    </row>
    <row r="7" spans="1:25" ht="12.75">
      <c r="A7" s="11" t="s">
        <v>272</v>
      </c>
      <c r="B7" s="34"/>
      <c r="C7" s="7" t="s">
        <v>372</v>
      </c>
      <c r="D7" s="7"/>
      <c r="E7" s="7"/>
      <c r="F7" s="7"/>
      <c r="G7" s="7"/>
      <c r="H7" s="7"/>
      <c r="I7" s="7"/>
      <c r="J7" s="7"/>
      <c r="K7" s="7"/>
      <c r="L7" s="7"/>
      <c r="M7" s="8"/>
      <c r="N7" s="123"/>
      <c r="O7" s="125" t="s">
        <v>274</v>
      </c>
      <c r="P7" s="128"/>
      <c r="Q7" s="128"/>
      <c r="R7" s="147">
        <f>IF(OR(SUM(G13:G14)=0,I14=""),"",(G13+(G14*(I14/100)+(G15/365))))</f>
      </c>
      <c r="S7" s="128" t="s">
        <v>312</v>
      </c>
      <c r="T7" s="125"/>
      <c r="U7" s="128"/>
      <c r="V7" s="128"/>
      <c r="W7" s="128"/>
      <c r="X7" s="128"/>
      <c r="Y7" s="127"/>
    </row>
    <row r="8" spans="1:25" ht="12.75">
      <c r="A8" s="11" t="s">
        <v>273</v>
      </c>
      <c r="B8" s="34"/>
      <c r="C8" s="7" t="s">
        <v>374</v>
      </c>
      <c r="D8" s="7"/>
      <c r="E8" s="7"/>
      <c r="F8" s="7"/>
      <c r="G8" s="7"/>
      <c r="H8" s="7"/>
      <c r="I8" s="7"/>
      <c r="J8" s="7"/>
      <c r="K8" s="238"/>
      <c r="L8" s="250"/>
      <c r="M8" s="8"/>
      <c r="N8" s="123"/>
      <c r="O8" s="128"/>
      <c r="P8" s="128"/>
      <c r="Q8" s="128"/>
      <c r="R8" s="129" t="str">
        <f>IF(R7="","Angaben zu den Einwohnern fehlen!","")</f>
        <v>Angaben zu den Einwohnern fehlen!</v>
      </c>
      <c r="S8" s="128"/>
      <c r="T8" s="131"/>
      <c r="U8" s="132"/>
      <c r="V8" s="128"/>
      <c r="W8" s="128"/>
      <c r="X8" s="128"/>
      <c r="Y8" s="127"/>
    </row>
    <row r="9" spans="1:25" ht="12.75">
      <c r="A9" s="11" t="s">
        <v>275</v>
      </c>
      <c r="B9" s="34"/>
      <c r="C9" s="79" t="s">
        <v>373</v>
      </c>
      <c r="D9" s="7"/>
      <c r="E9" s="7"/>
      <c r="F9" s="7"/>
      <c r="G9" s="7"/>
      <c r="H9" s="7"/>
      <c r="I9" s="7"/>
      <c r="J9" s="7"/>
      <c r="K9" s="238"/>
      <c r="L9" s="250"/>
      <c r="M9" s="236" t="s">
        <v>566</v>
      </c>
      <c r="N9" s="123"/>
      <c r="O9" s="125" t="s">
        <v>276</v>
      </c>
      <c r="P9" s="128"/>
      <c r="Q9" s="128"/>
      <c r="R9" s="146">
        <f>IF(G18="","",G18/52)</f>
      </c>
      <c r="S9" s="128" t="s">
        <v>277</v>
      </c>
      <c r="T9" s="131"/>
      <c r="U9" s="132"/>
      <c r="V9" s="128"/>
      <c r="W9" s="128"/>
      <c r="X9" s="128"/>
      <c r="Y9" s="127"/>
    </row>
    <row r="10" spans="1:25" ht="12.75">
      <c r="A10" s="11" t="s">
        <v>568</v>
      </c>
      <c r="B10" s="34"/>
      <c r="C10" s="79" t="s">
        <v>567</v>
      </c>
      <c r="D10" s="7"/>
      <c r="E10" s="7"/>
      <c r="F10" s="7"/>
      <c r="G10" s="7"/>
      <c r="H10" s="7"/>
      <c r="I10" s="7"/>
      <c r="J10" s="7"/>
      <c r="K10" s="7"/>
      <c r="L10" s="7"/>
      <c r="M10" s="8"/>
      <c r="N10" s="123"/>
      <c r="O10" s="125"/>
      <c r="P10" s="128"/>
      <c r="Q10" s="128"/>
      <c r="R10" s="129" t="str">
        <f>IF(G18="","Angaben zu den Öffnungsstunden fehlen!","")</f>
        <v>Angaben zu den Öffnungsstunden fehlen!</v>
      </c>
      <c r="S10" s="128"/>
      <c r="T10" s="131"/>
      <c r="U10" s="132"/>
      <c r="V10" s="128"/>
      <c r="W10" s="128"/>
      <c r="X10" s="128"/>
      <c r="Y10" s="127"/>
    </row>
    <row r="11" spans="1:25" ht="12.75">
      <c r="A11" s="11"/>
      <c r="B11" s="7"/>
      <c r="C11" s="7"/>
      <c r="D11" s="7"/>
      <c r="E11" s="7"/>
      <c r="F11" s="7"/>
      <c r="G11" s="7"/>
      <c r="H11" s="7"/>
      <c r="I11" s="7"/>
      <c r="J11" s="7"/>
      <c r="K11" s="7"/>
      <c r="L11" s="7"/>
      <c r="M11" s="8"/>
      <c r="N11" s="123"/>
      <c r="O11" s="131"/>
      <c r="P11" s="131"/>
      <c r="Q11" s="131"/>
      <c r="R11" s="131"/>
      <c r="S11" s="131"/>
      <c r="T11" s="131"/>
      <c r="U11" s="132"/>
      <c r="V11" s="128"/>
      <c r="W11" s="128"/>
      <c r="X11" s="128"/>
      <c r="Y11" s="127"/>
    </row>
    <row r="12" spans="1:25" ht="15.75">
      <c r="A12" s="9" t="s">
        <v>278</v>
      </c>
      <c r="B12" s="10" t="s">
        <v>384</v>
      </c>
      <c r="C12" s="10"/>
      <c r="D12" s="7"/>
      <c r="E12" s="7"/>
      <c r="F12" s="7"/>
      <c r="G12" s="7"/>
      <c r="H12" s="7"/>
      <c r="I12" s="7"/>
      <c r="J12" s="7"/>
      <c r="K12" s="7"/>
      <c r="L12" s="7"/>
      <c r="M12" s="8"/>
      <c r="N12" s="123"/>
      <c r="O12" s="125" t="s">
        <v>280</v>
      </c>
      <c r="P12" s="128"/>
      <c r="Q12" s="128"/>
      <c r="R12" s="146">
        <f>IF(OR(G20="",R7=""),"",G20*60/R7)</f>
      </c>
      <c r="S12" s="128" t="s">
        <v>420</v>
      </c>
      <c r="T12" s="131"/>
      <c r="U12" s="132"/>
      <c r="V12" s="128"/>
      <c r="W12" s="128"/>
      <c r="X12" s="128"/>
      <c r="Y12" s="127"/>
    </row>
    <row r="13" spans="1:25" ht="12.75">
      <c r="A13" s="11" t="s">
        <v>300</v>
      </c>
      <c r="B13" s="7" t="s">
        <v>496</v>
      </c>
      <c r="C13" s="7"/>
      <c r="D13" s="7"/>
      <c r="E13" s="7"/>
      <c r="F13" s="7"/>
      <c r="G13" s="74"/>
      <c r="H13" s="7" t="s">
        <v>88</v>
      </c>
      <c r="I13" s="7"/>
      <c r="J13" s="7"/>
      <c r="K13" s="7"/>
      <c r="L13" s="7"/>
      <c r="M13" s="8"/>
      <c r="N13" s="123"/>
      <c r="O13" s="125"/>
      <c r="P13" s="128"/>
      <c r="Q13" s="128"/>
      <c r="R13" s="129" t="str">
        <f>IF(G20="","Angaben zu Personalstunden fehlen!","")</f>
        <v>Angaben zu Personalstunden fehlen!</v>
      </c>
      <c r="S13" s="128"/>
      <c r="T13" s="131"/>
      <c r="U13" s="133" t="str">
        <f>IF(R7="","Angaben zu den Einwohnern fehlen!","")</f>
        <v>Angaben zu den Einwohnern fehlen!</v>
      </c>
      <c r="V13" s="133"/>
      <c r="W13" s="128"/>
      <c r="X13" s="128"/>
      <c r="Y13" s="127"/>
    </row>
    <row r="14" spans="1:25" ht="12.75">
      <c r="A14" s="11" t="s">
        <v>301</v>
      </c>
      <c r="B14" s="7" t="s">
        <v>497</v>
      </c>
      <c r="C14" s="7"/>
      <c r="D14" s="7"/>
      <c r="E14" s="7"/>
      <c r="F14" s="7"/>
      <c r="G14" s="74"/>
      <c r="H14" s="7" t="s">
        <v>88</v>
      </c>
      <c r="I14" s="74"/>
      <c r="J14" s="7" t="s">
        <v>154</v>
      </c>
      <c r="K14" s="7"/>
      <c r="L14" s="7"/>
      <c r="M14" s="8"/>
      <c r="N14" s="123"/>
      <c r="O14" s="125" t="s">
        <v>283</v>
      </c>
      <c r="P14" s="128"/>
      <c r="Q14" s="128"/>
      <c r="R14" s="146">
        <f>IF(OR(G22="",G18=""),"",G22/G18)</f>
      </c>
      <c r="S14" s="128" t="s">
        <v>284</v>
      </c>
      <c r="T14" s="131"/>
      <c r="U14" s="133"/>
      <c r="V14" s="133"/>
      <c r="W14" s="128"/>
      <c r="X14" s="128"/>
      <c r="Y14" s="127"/>
    </row>
    <row r="15" spans="1:25" ht="12.75">
      <c r="A15" s="11" t="s">
        <v>302</v>
      </c>
      <c r="B15" s="7" t="s">
        <v>498</v>
      </c>
      <c r="C15" s="7"/>
      <c r="D15" s="7"/>
      <c r="E15" s="7"/>
      <c r="F15" s="7"/>
      <c r="G15" s="74"/>
      <c r="H15" s="7" t="s">
        <v>89</v>
      </c>
      <c r="I15" s="7"/>
      <c r="J15" s="7"/>
      <c r="K15" s="7"/>
      <c r="L15" s="7"/>
      <c r="M15" s="8"/>
      <c r="N15" s="123"/>
      <c r="O15" s="132"/>
      <c r="P15" s="132"/>
      <c r="Q15" s="132"/>
      <c r="R15" s="129" t="str">
        <f>IF(G22="","Angaben zu Anlieferungen fehlen!","")</f>
        <v>Angaben zu Anlieferungen fehlen!</v>
      </c>
      <c r="S15" s="132"/>
      <c r="T15" s="131"/>
      <c r="U15" s="129" t="str">
        <f>IF(G18="","Angaben zu den Öffnungsstunden fehlen!","")</f>
        <v>Angaben zu den Öffnungsstunden fehlen!</v>
      </c>
      <c r="V15" s="133"/>
      <c r="W15" s="128"/>
      <c r="X15" s="128"/>
      <c r="Y15" s="127"/>
    </row>
    <row r="16" spans="1:25" ht="12.75">
      <c r="A16" s="11"/>
      <c r="B16" s="7"/>
      <c r="C16" s="7"/>
      <c r="D16" s="7"/>
      <c r="E16" s="7"/>
      <c r="F16" s="7"/>
      <c r="G16" s="7"/>
      <c r="H16" s="7"/>
      <c r="I16" s="7"/>
      <c r="J16" s="183" t="s">
        <v>529</v>
      </c>
      <c r="K16" s="176"/>
      <c r="L16" s="176"/>
      <c r="M16" s="177"/>
      <c r="N16" s="123"/>
      <c r="O16" s="132"/>
      <c r="P16" s="132"/>
      <c r="Q16" s="132"/>
      <c r="R16" s="129"/>
      <c r="S16" s="132"/>
      <c r="T16" s="131"/>
      <c r="U16" s="129"/>
      <c r="V16" s="133"/>
      <c r="W16" s="128"/>
      <c r="X16" s="128"/>
      <c r="Y16" s="127"/>
    </row>
    <row r="17" spans="1:25" ht="12.75">
      <c r="A17" s="11"/>
      <c r="B17" s="7"/>
      <c r="C17" s="7"/>
      <c r="D17" s="7"/>
      <c r="E17" s="7"/>
      <c r="F17" s="7"/>
      <c r="G17" s="7"/>
      <c r="H17" s="7"/>
      <c r="I17" s="7"/>
      <c r="J17" s="178"/>
      <c r="K17" s="174"/>
      <c r="L17" s="174"/>
      <c r="M17" s="175"/>
      <c r="N17" s="123"/>
      <c r="O17" s="131" t="s">
        <v>332</v>
      </c>
      <c r="P17" s="132"/>
      <c r="Q17" s="132"/>
      <c r="R17" s="146">
        <f>IF(OR(SUM(G25,G27,G28,G32,G33,G34)=0,G18=""),"",SUM(G25,G27,G28,G32,G33,G34)*1000/G18)</f>
      </c>
      <c r="S17" s="128" t="s">
        <v>333</v>
      </c>
      <c r="T17" s="131"/>
      <c r="U17" s="133"/>
      <c r="V17" s="133"/>
      <c r="W17" s="128"/>
      <c r="X17" s="128"/>
      <c r="Y17" s="127"/>
    </row>
    <row r="18" spans="1:25" ht="15.75">
      <c r="A18" s="9" t="s">
        <v>281</v>
      </c>
      <c r="B18" s="10" t="s">
        <v>315</v>
      </c>
      <c r="C18" s="10"/>
      <c r="D18" s="12"/>
      <c r="E18" s="12"/>
      <c r="F18" s="7"/>
      <c r="G18" s="74"/>
      <c r="H18" s="7" t="s">
        <v>279</v>
      </c>
      <c r="I18" s="7"/>
      <c r="J18" s="178"/>
      <c r="K18" s="179" t="s">
        <v>526</v>
      </c>
      <c r="L18" s="74"/>
      <c r="M18" s="175" t="s">
        <v>279</v>
      </c>
      <c r="N18" s="123"/>
      <c r="O18" s="132"/>
      <c r="P18" s="132"/>
      <c r="Q18" s="132"/>
      <c r="R18" s="129" t="str">
        <f>IF(SUM(G25,G27,G28,G32,G33,G34)=0,"Mengenangaben fehlen!","")</f>
        <v>Mengenangaben fehlen!</v>
      </c>
      <c r="S18" s="132"/>
      <c r="T18" s="131"/>
      <c r="U18" s="129" t="str">
        <f>IF(G18="","Angaben zu den Öffnungsstunden fehlen!","")</f>
        <v>Angaben zu den Öffnungsstunden fehlen!</v>
      </c>
      <c r="V18" s="133"/>
      <c r="W18" s="128"/>
      <c r="X18" s="128"/>
      <c r="Y18" s="127"/>
    </row>
    <row r="19" spans="1:25" ht="15">
      <c r="A19" s="77"/>
      <c r="B19" s="78"/>
      <c r="C19" s="78"/>
      <c r="D19" s="7"/>
      <c r="E19" s="7"/>
      <c r="F19" s="7"/>
      <c r="G19" s="7"/>
      <c r="H19" s="7"/>
      <c r="I19" s="7"/>
      <c r="J19" s="178"/>
      <c r="K19" s="179"/>
      <c r="L19" s="174"/>
      <c r="M19" s="175"/>
      <c r="N19" s="123"/>
      <c r="O19" s="125" t="s">
        <v>287</v>
      </c>
      <c r="P19" s="128"/>
      <c r="Q19" s="128"/>
      <c r="R19" s="146">
        <f>IF(OR(G46="",G18=""),"",G46/G18)</f>
      </c>
      <c r="S19" s="128" t="s">
        <v>288</v>
      </c>
      <c r="T19" s="131"/>
      <c r="U19" s="133"/>
      <c r="V19" s="133"/>
      <c r="W19" s="128"/>
      <c r="X19" s="128"/>
      <c r="Y19" s="127"/>
    </row>
    <row r="20" spans="1:25" ht="15.75">
      <c r="A20" s="9" t="s">
        <v>285</v>
      </c>
      <c r="B20" s="10" t="s">
        <v>282</v>
      </c>
      <c r="C20" s="10"/>
      <c r="D20" s="12"/>
      <c r="E20" s="12"/>
      <c r="F20" s="7"/>
      <c r="G20" s="74"/>
      <c r="H20" s="7" t="s">
        <v>279</v>
      </c>
      <c r="I20" s="7"/>
      <c r="J20" s="178"/>
      <c r="K20" s="179" t="s">
        <v>527</v>
      </c>
      <c r="L20" s="74"/>
      <c r="M20" s="175" t="s">
        <v>279</v>
      </c>
      <c r="N20" s="123"/>
      <c r="O20" s="131"/>
      <c r="P20" s="128"/>
      <c r="Q20" s="128"/>
      <c r="R20" s="129" t="str">
        <f>IF(G46="","Personalkosten fehlen!","")</f>
        <v>Personalkosten fehlen!</v>
      </c>
      <c r="S20" s="128"/>
      <c r="T20" s="131"/>
      <c r="U20" s="129" t="str">
        <f>IF(G18="","Angaben zu den Öffnungsstunden fehlen!","")</f>
        <v>Angaben zu den Öffnungsstunden fehlen!</v>
      </c>
      <c r="V20" s="133"/>
      <c r="W20" s="128"/>
      <c r="X20" s="128"/>
      <c r="Y20" s="127"/>
    </row>
    <row r="21" spans="1:25" ht="15">
      <c r="A21" s="77"/>
      <c r="B21" s="78"/>
      <c r="C21" s="78"/>
      <c r="D21" s="7"/>
      <c r="E21" s="7"/>
      <c r="F21" s="7"/>
      <c r="G21" s="7"/>
      <c r="H21" s="7"/>
      <c r="I21" s="7"/>
      <c r="J21" s="178"/>
      <c r="K21" s="179"/>
      <c r="L21" s="174"/>
      <c r="M21" s="175"/>
      <c r="N21" s="123"/>
      <c r="O21" s="125" t="s">
        <v>290</v>
      </c>
      <c r="P21" s="128"/>
      <c r="Q21" s="128"/>
      <c r="R21" s="146">
        <f>IF(OR(G47="",G18=""),"",G47/G18)</f>
      </c>
      <c r="S21" s="128" t="s">
        <v>288</v>
      </c>
      <c r="T21" s="131"/>
      <c r="U21" s="133"/>
      <c r="V21" s="133"/>
      <c r="W21" s="128"/>
      <c r="X21" s="128"/>
      <c r="Y21" s="127"/>
    </row>
    <row r="22" spans="1:25" ht="15.75">
      <c r="A22" s="9" t="s">
        <v>289</v>
      </c>
      <c r="B22" s="10" t="s">
        <v>286</v>
      </c>
      <c r="C22" s="10"/>
      <c r="D22" s="12"/>
      <c r="E22" s="12"/>
      <c r="F22" s="7"/>
      <c r="G22" s="74"/>
      <c r="H22" s="7" t="s">
        <v>162</v>
      </c>
      <c r="I22" s="7"/>
      <c r="J22" s="178"/>
      <c r="K22" s="179" t="s">
        <v>528</v>
      </c>
      <c r="L22" s="74"/>
      <c r="M22" s="175" t="s">
        <v>162</v>
      </c>
      <c r="N22" s="123"/>
      <c r="O22" s="125"/>
      <c r="P22" s="128"/>
      <c r="Q22" s="128"/>
      <c r="R22" s="129" t="str">
        <f>IF(G47="","Betriebskosten fehlen!","")</f>
        <v>Betriebskosten fehlen!</v>
      </c>
      <c r="S22" s="128"/>
      <c r="T22" s="131"/>
      <c r="U22" s="129" t="str">
        <f>IF(G18="","Angaben zu den Öffnungsstunden fehlen!","")</f>
        <v>Angaben zu den Öffnungsstunden fehlen!</v>
      </c>
      <c r="V22" s="133"/>
      <c r="W22" s="128"/>
      <c r="X22" s="128"/>
      <c r="Y22" s="127"/>
    </row>
    <row r="23" spans="1:25" ht="15">
      <c r="A23" s="77"/>
      <c r="B23" s="78"/>
      <c r="C23" s="78"/>
      <c r="D23" s="7"/>
      <c r="E23" s="7"/>
      <c r="F23" s="7"/>
      <c r="G23" s="7"/>
      <c r="H23" s="7"/>
      <c r="I23" s="7"/>
      <c r="J23" s="178"/>
      <c r="K23" s="179"/>
      <c r="L23" s="174"/>
      <c r="M23" s="175"/>
      <c r="N23" s="123"/>
      <c r="O23" s="125" t="s">
        <v>387</v>
      </c>
      <c r="P23" s="128"/>
      <c r="Q23" s="128"/>
      <c r="R23" s="146">
        <f>IF(OR(G47="",R7=""),"",G47/R7)</f>
      </c>
      <c r="S23" s="128" t="s">
        <v>224</v>
      </c>
      <c r="T23" s="131"/>
      <c r="U23" s="133"/>
      <c r="V23" s="133"/>
      <c r="W23" s="128"/>
      <c r="X23" s="128"/>
      <c r="Y23" s="127"/>
    </row>
    <row r="24" spans="1:25" ht="15.75">
      <c r="A24" s="9" t="s">
        <v>291</v>
      </c>
      <c r="B24" s="10" t="s">
        <v>385</v>
      </c>
      <c r="C24" s="10"/>
      <c r="D24" s="7"/>
      <c r="E24" s="7"/>
      <c r="F24" s="7"/>
      <c r="G24" s="7"/>
      <c r="H24" s="7"/>
      <c r="I24" s="7"/>
      <c r="J24" s="178"/>
      <c r="K24" s="179"/>
      <c r="L24" s="174"/>
      <c r="M24" s="175"/>
      <c r="N24" s="123"/>
      <c r="O24" s="132"/>
      <c r="P24" s="132"/>
      <c r="Q24" s="132"/>
      <c r="R24" s="159" t="str">
        <f>IF(G47="","Betriebskosten fehlen!","")</f>
        <v>Betriebskosten fehlen!</v>
      </c>
      <c r="S24" s="132"/>
      <c r="T24" s="131"/>
      <c r="U24" s="133" t="str">
        <f>IF(R7="","Angaben zu den Einwohnern fehlen!","")</f>
        <v>Angaben zu den Einwohnern fehlen!</v>
      </c>
      <c r="V24" s="133"/>
      <c r="W24" s="128"/>
      <c r="X24" s="128"/>
      <c r="Y24" s="127"/>
    </row>
    <row r="25" spans="1:25" ht="12.75">
      <c r="A25" s="11" t="s">
        <v>292</v>
      </c>
      <c r="B25" s="7" t="s">
        <v>316</v>
      </c>
      <c r="C25" s="7"/>
      <c r="D25" s="7"/>
      <c r="E25" s="7"/>
      <c r="F25" s="7"/>
      <c r="G25" s="74"/>
      <c r="H25" s="7" t="s">
        <v>242</v>
      </c>
      <c r="I25" s="7"/>
      <c r="J25" s="178"/>
      <c r="K25" s="179"/>
      <c r="L25" s="174"/>
      <c r="M25" s="175"/>
      <c r="N25" s="123"/>
      <c r="O25" s="125" t="s">
        <v>388</v>
      </c>
      <c r="P25" s="128"/>
      <c r="Q25" s="128"/>
      <c r="R25" s="146">
        <f>IF(OR(G56="",R7=""),"",G56/R7)</f>
      </c>
      <c r="S25" s="128" t="s">
        <v>224</v>
      </c>
      <c r="T25" s="131"/>
      <c r="U25" s="133"/>
      <c r="V25" s="133"/>
      <c r="W25" s="128"/>
      <c r="X25" s="128"/>
      <c r="Y25" s="127"/>
    </row>
    <row r="26" spans="1:25" ht="12.75">
      <c r="A26" s="11" t="s">
        <v>294</v>
      </c>
      <c r="B26" s="81" t="s">
        <v>317</v>
      </c>
      <c r="C26" s="7"/>
      <c r="D26" s="7"/>
      <c r="E26" s="7"/>
      <c r="F26" s="7"/>
      <c r="G26" s="74"/>
      <c r="H26" s="7" t="s">
        <v>242</v>
      </c>
      <c r="I26" s="7"/>
      <c r="J26" s="178"/>
      <c r="K26" s="179"/>
      <c r="L26" s="174"/>
      <c r="M26" s="175"/>
      <c r="N26" s="123"/>
      <c r="O26" s="125"/>
      <c r="P26" s="128"/>
      <c r="Q26" s="128"/>
      <c r="R26" s="160" t="str">
        <f>IF(G56="","Erlöse fehlen!","")</f>
        <v>Erlöse fehlen!</v>
      </c>
      <c r="S26" s="128"/>
      <c r="T26" s="131"/>
      <c r="U26" s="133" t="str">
        <f>IF(R7="","Angaben zu den Einwohnern fehlen!","")</f>
        <v>Angaben zu den Einwohnern fehlen!</v>
      </c>
      <c r="V26" s="133"/>
      <c r="W26" s="128"/>
      <c r="X26" s="128"/>
      <c r="Y26" s="127"/>
    </row>
    <row r="27" spans="1:25" ht="12.75">
      <c r="A27" s="11" t="s">
        <v>296</v>
      </c>
      <c r="B27" s="7" t="s">
        <v>318</v>
      </c>
      <c r="C27" s="7"/>
      <c r="D27" s="7"/>
      <c r="E27" s="7"/>
      <c r="F27" s="7"/>
      <c r="G27" s="74"/>
      <c r="H27" s="7" t="s">
        <v>242</v>
      </c>
      <c r="I27" s="7"/>
      <c r="J27" s="178"/>
      <c r="K27" s="179" t="s">
        <v>530</v>
      </c>
      <c r="L27" s="74"/>
      <c r="M27" s="175" t="s">
        <v>242</v>
      </c>
      <c r="N27" s="123"/>
      <c r="O27" s="125" t="s">
        <v>376</v>
      </c>
      <c r="P27" s="128"/>
      <c r="Q27" s="128"/>
      <c r="R27" s="146">
        <f>IF(OR(G46="",G47="",G48="",G49="",R7=""),"",(SUM(G46:G49)-G56)/R7)</f>
      </c>
      <c r="S27" s="128" t="s">
        <v>224</v>
      </c>
      <c r="T27" s="131"/>
      <c r="U27" s="133"/>
      <c r="V27" s="133"/>
      <c r="W27" s="133"/>
      <c r="X27" s="128"/>
      <c r="Y27" s="127"/>
    </row>
    <row r="28" spans="1:25" ht="12.75">
      <c r="A28" s="11" t="s">
        <v>297</v>
      </c>
      <c r="B28" s="7" t="s">
        <v>319</v>
      </c>
      <c r="C28" s="7"/>
      <c r="D28" s="7"/>
      <c r="E28" s="7"/>
      <c r="F28" s="7"/>
      <c r="G28" s="74"/>
      <c r="H28" s="7" t="s">
        <v>242</v>
      </c>
      <c r="I28" s="7"/>
      <c r="J28" s="178"/>
      <c r="K28" s="174"/>
      <c r="L28" s="174"/>
      <c r="M28" s="175"/>
      <c r="N28" s="123"/>
      <c r="O28" s="131" t="s">
        <v>389</v>
      </c>
      <c r="P28" s="132"/>
      <c r="Q28" s="132"/>
      <c r="R28" s="133" t="str">
        <f>IF(OR(G46="",G47="",G48="",G49=""),"Kostenanteil Personal o. Betrieb o. Kapitalkosten o. Entsorgung fehlt!","")</f>
        <v>Kostenanteil Personal o. Betrieb o. Kapitalkosten o. Entsorgung fehlt!</v>
      </c>
      <c r="S28" s="132"/>
      <c r="T28" s="131"/>
      <c r="U28" s="132"/>
      <c r="V28" s="133"/>
      <c r="W28" s="132"/>
      <c r="X28" s="128"/>
      <c r="Y28" s="127"/>
    </row>
    <row r="29" spans="1:25" ht="12.75">
      <c r="A29" s="11" t="s">
        <v>313</v>
      </c>
      <c r="B29" s="81" t="s">
        <v>320</v>
      </c>
      <c r="C29" s="7"/>
      <c r="D29" s="7"/>
      <c r="E29" s="7"/>
      <c r="F29" s="7"/>
      <c r="G29" s="74"/>
      <c r="H29" s="7" t="s">
        <v>242</v>
      </c>
      <c r="I29" s="7"/>
      <c r="J29" s="180"/>
      <c r="K29" s="181"/>
      <c r="L29" s="181"/>
      <c r="M29" s="182"/>
      <c r="N29" s="123"/>
      <c r="O29" s="132"/>
      <c r="P29" s="132"/>
      <c r="Q29" s="132"/>
      <c r="R29" s="133" t="str">
        <f>IF(R7="","Angaben zu den Einwohnern fehlen!","")</f>
        <v>Angaben zu den Einwohnern fehlen!</v>
      </c>
      <c r="S29" s="132"/>
      <c r="T29" s="131"/>
      <c r="U29" s="132"/>
      <c r="V29" s="132"/>
      <c r="W29" s="132"/>
      <c r="X29" s="132"/>
      <c r="Y29" s="127"/>
    </row>
    <row r="30" spans="1:25" ht="12.75">
      <c r="A30" s="11" t="s">
        <v>314</v>
      </c>
      <c r="B30" s="81" t="s">
        <v>327</v>
      </c>
      <c r="C30" s="7"/>
      <c r="D30" s="7"/>
      <c r="E30" s="7"/>
      <c r="F30" s="7"/>
      <c r="G30" s="74"/>
      <c r="H30" s="7" t="s">
        <v>242</v>
      </c>
      <c r="I30" s="7"/>
      <c r="J30" s="7"/>
      <c r="K30" s="7"/>
      <c r="L30" s="7"/>
      <c r="M30" s="8"/>
      <c r="N30" s="123"/>
      <c r="O30" s="131" t="s">
        <v>390</v>
      </c>
      <c r="P30" s="132"/>
      <c r="Q30" s="132"/>
      <c r="R30" s="146">
        <f>IF(OR(B8="",G46="",G47="",G48="",G49="",Altstoffsammelzentrum!G61="",Allgemeines!Q10=""),"",(SUM(G46:G49)-G56-Altstoffsammelzentrum!G61)/Allgemeines!Q10)</f>
      </c>
      <c r="S30" s="128" t="s">
        <v>224</v>
      </c>
      <c r="T30" s="131"/>
      <c r="U30" s="133" t="str">
        <f>IF(G61="","Angabe zu Einnahmen aus Nutzungsentgeld fehlt!","")</f>
        <v>Angabe zu Einnahmen aus Nutzungsentgeld fehlt!</v>
      </c>
      <c r="V30" s="132"/>
      <c r="W30" s="132"/>
      <c r="X30" s="132"/>
      <c r="Y30" s="127"/>
    </row>
    <row r="31" spans="1:25" ht="12.75">
      <c r="A31" s="11" t="s">
        <v>324</v>
      </c>
      <c r="B31" s="81" t="s">
        <v>484</v>
      </c>
      <c r="C31" s="7"/>
      <c r="D31" s="7"/>
      <c r="E31" s="7"/>
      <c r="F31" s="7"/>
      <c r="G31" s="74"/>
      <c r="H31" s="7" t="s">
        <v>242</v>
      </c>
      <c r="I31" s="7"/>
      <c r="J31" s="7"/>
      <c r="K31" s="7"/>
      <c r="L31" s="7"/>
      <c r="M31" s="8"/>
      <c r="N31" s="123"/>
      <c r="O31" s="131" t="s">
        <v>391</v>
      </c>
      <c r="P31" s="132"/>
      <c r="Q31" s="132"/>
      <c r="R31" s="133" t="str">
        <f>IF(OR(G46="",G47="",G48="",G49=""),"Kostenanteil Personal o. Betrieb o. Kapitalkosten o. Entsorgung fehlt!","")</f>
        <v>Kostenanteil Personal o. Betrieb o. Kapitalkosten o. Entsorgung fehlt!</v>
      </c>
      <c r="S31" s="132"/>
      <c r="T31" s="131"/>
      <c r="U31" s="132"/>
      <c r="V31" s="132"/>
      <c r="W31" s="132"/>
      <c r="X31" s="132"/>
      <c r="Y31" s="127"/>
    </row>
    <row r="32" spans="1:25" ht="12.75">
      <c r="A32" s="11" t="s">
        <v>325</v>
      </c>
      <c r="B32" s="7" t="s">
        <v>502</v>
      </c>
      <c r="C32" s="7"/>
      <c r="D32" s="7"/>
      <c r="E32" s="7"/>
      <c r="F32" s="7"/>
      <c r="G32" s="74"/>
      <c r="H32" s="7" t="s">
        <v>242</v>
      </c>
      <c r="I32" s="7"/>
      <c r="J32" s="7"/>
      <c r="K32" s="7"/>
      <c r="L32" s="7"/>
      <c r="M32" s="8"/>
      <c r="N32" s="123"/>
      <c r="O32" s="132"/>
      <c r="P32" s="132"/>
      <c r="Q32" s="132"/>
      <c r="R32" s="133" t="str">
        <f>IF(Allgemeines!Q10="","Angaben zu den Einwohnern fehlen!","")</f>
        <v>Angaben zu den Einwohnern fehlen!</v>
      </c>
      <c r="S32" s="132"/>
      <c r="T32" s="131"/>
      <c r="U32" s="132"/>
      <c r="V32" s="132"/>
      <c r="W32" s="132"/>
      <c r="X32" s="132"/>
      <c r="Y32" s="127"/>
    </row>
    <row r="33" spans="1:25" ht="12.75">
      <c r="A33" s="11" t="s">
        <v>326</v>
      </c>
      <c r="B33" s="7" t="s">
        <v>321</v>
      </c>
      <c r="C33" s="7"/>
      <c r="D33" s="7"/>
      <c r="E33" s="7"/>
      <c r="F33" s="7"/>
      <c r="G33" s="74"/>
      <c r="H33" s="7" t="s">
        <v>242</v>
      </c>
      <c r="I33" s="7"/>
      <c r="J33" s="7"/>
      <c r="K33" s="7"/>
      <c r="L33" s="7"/>
      <c r="M33" s="8"/>
      <c r="N33" s="123"/>
      <c r="O33" s="132"/>
      <c r="P33" s="132"/>
      <c r="Q33" s="132"/>
      <c r="R33" s="132"/>
      <c r="S33" s="132"/>
      <c r="T33" s="131"/>
      <c r="U33" s="132"/>
      <c r="V33" s="132"/>
      <c r="W33" s="132"/>
      <c r="X33" s="132"/>
      <c r="Y33" s="127"/>
    </row>
    <row r="34" spans="1:25" ht="12.75">
      <c r="A34" s="11" t="s">
        <v>455</v>
      </c>
      <c r="B34" s="7" t="s">
        <v>328</v>
      </c>
      <c r="C34" s="7"/>
      <c r="D34" s="7"/>
      <c r="E34" s="7"/>
      <c r="F34" s="7"/>
      <c r="G34" s="74"/>
      <c r="H34" s="7" t="s">
        <v>242</v>
      </c>
      <c r="I34" s="7"/>
      <c r="J34" s="7"/>
      <c r="K34" s="7"/>
      <c r="L34" s="7"/>
      <c r="M34" s="8"/>
      <c r="N34" s="123"/>
      <c r="O34" s="132"/>
      <c r="P34" s="132"/>
      <c r="Q34" s="132"/>
      <c r="R34" s="132"/>
      <c r="S34" s="132"/>
      <c r="T34" s="131"/>
      <c r="U34" s="132"/>
      <c r="V34" s="132"/>
      <c r="W34" s="128"/>
      <c r="X34" s="128"/>
      <c r="Y34" s="127"/>
    </row>
    <row r="35" spans="1:25" ht="12.75">
      <c r="A35" s="11" t="s">
        <v>456</v>
      </c>
      <c r="B35" s="81" t="s">
        <v>322</v>
      </c>
      <c r="C35" s="80"/>
      <c r="D35" s="7"/>
      <c r="E35" s="7"/>
      <c r="F35" s="7"/>
      <c r="G35" s="74"/>
      <c r="H35" s="7" t="s">
        <v>242</v>
      </c>
      <c r="I35" s="7"/>
      <c r="J35" s="7"/>
      <c r="K35" s="7"/>
      <c r="L35" s="7"/>
      <c r="M35" s="8"/>
      <c r="N35" s="123"/>
      <c r="O35" s="132"/>
      <c r="P35" s="132"/>
      <c r="Q35" s="132"/>
      <c r="R35" s="132"/>
      <c r="S35" s="132"/>
      <c r="T35" s="131"/>
      <c r="U35" s="132"/>
      <c r="V35" s="132"/>
      <c r="W35" s="128"/>
      <c r="X35" s="128"/>
      <c r="Y35" s="127"/>
    </row>
    <row r="36" spans="1:25" ht="12.75">
      <c r="A36" s="11" t="s">
        <v>485</v>
      </c>
      <c r="B36" s="81" t="s">
        <v>323</v>
      </c>
      <c r="C36" s="80"/>
      <c r="D36" s="7"/>
      <c r="E36" s="7"/>
      <c r="F36" s="7"/>
      <c r="G36" s="74"/>
      <c r="H36" s="7" t="s">
        <v>242</v>
      </c>
      <c r="I36" s="7"/>
      <c r="J36" s="7"/>
      <c r="K36" s="7"/>
      <c r="L36" s="7"/>
      <c r="M36" s="8"/>
      <c r="N36" s="123"/>
      <c r="O36" s="132"/>
      <c r="P36" s="132"/>
      <c r="Q36" s="132"/>
      <c r="R36" s="132"/>
      <c r="S36" s="132"/>
      <c r="T36" s="131"/>
      <c r="U36" s="132"/>
      <c r="V36" s="132"/>
      <c r="W36" s="128"/>
      <c r="X36" s="128"/>
      <c r="Y36" s="127"/>
    </row>
    <row r="37" spans="1:25" ht="12.75">
      <c r="A37" s="11" t="s">
        <v>486</v>
      </c>
      <c r="B37" s="81" t="s">
        <v>487</v>
      </c>
      <c r="C37" s="80"/>
      <c r="D37" s="7"/>
      <c r="E37" s="7"/>
      <c r="F37" s="7"/>
      <c r="G37" s="74"/>
      <c r="H37" s="7" t="s">
        <v>242</v>
      </c>
      <c r="I37" s="7"/>
      <c r="J37" s="7"/>
      <c r="K37" s="7"/>
      <c r="L37" s="7"/>
      <c r="M37" s="8"/>
      <c r="N37" s="123"/>
      <c r="O37" s="132"/>
      <c r="P37" s="132"/>
      <c r="Q37" s="132"/>
      <c r="R37" s="132"/>
      <c r="S37" s="132"/>
      <c r="T37" s="131"/>
      <c r="U37" s="132"/>
      <c r="V37" s="132"/>
      <c r="W37" s="128"/>
      <c r="X37" s="128"/>
      <c r="Y37" s="127"/>
    </row>
    <row r="38" spans="1:25" ht="12.75">
      <c r="A38" s="18"/>
      <c r="B38" s="166"/>
      <c r="C38" s="167"/>
      <c r="D38" s="19"/>
      <c r="E38" s="19"/>
      <c r="F38" s="19"/>
      <c r="G38" s="19"/>
      <c r="H38" s="19"/>
      <c r="I38" s="19"/>
      <c r="J38" s="19"/>
      <c r="K38" s="19"/>
      <c r="L38" s="19"/>
      <c r="M38" s="20"/>
      <c r="N38" s="139"/>
      <c r="O38" s="163"/>
      <c r="P38" s="163"/>
      <c r="Q38" s="163"/>
      <c r="R38" s="163"/>
      <c r="S38" s="163"/>
      <c r="T38" s="141"/>
      <c r="U38" s="163"/>
      <c r="V38" s="163"/>
      <c r="W38" s="163"/>
      <c r="X38" s="163"/>
      <c r="Y38" s="143"/>
    </row>
    <row r="39" spans="1:25" ht="15.75">
      <c r="A39" s="29" t="str">
        <f>A1</f>
        <v>Steirischer Abfallspiegel - Datenerhebung</v>
      </c>
      <c r="B39" s="4"/>
      <c r="C39" s="4"/>
      <c r="D39" s="4"/>
      <c r="E39" s="4"/>
      <c r="F39" s="4"/>
      <c r="G39" s="4"/>
      <c r="H39" s="4"/>
      <c r="I39" s="4"/>
      <c r="J39" s="4"/>
      <c r="K39" s="4"/>
      <c r="L39" s="4"/>
      <c r="M39" s="5"/>
      <c r="N39" s="118" t="s">
        <v>382</v>
      </c>
      <c r="O39" s="157"/>
      <c r="P39" s="157"/>
      <c r="Q39" s="157"/>
      <c r="R39" s="157"/>
      <c r="S39" s="157"/>
      <c r="T39" s="120"/>
      <c r="U39" s="157"/>
      <c r="V39" s="157"/>
      <c r="W39" s="157"/>
      <c r="X39" s="157"/>
      <c r="Y39" s="122"/>
    </row>
    <row r="40" spans="1:25" ht="12.75">
      <c r="A40" s="6" t="s">
        <v>77</v>
      </c>
      <c r="B40" s="7"/>
      <c r="C40" s="7"/>
      <c r="D40" s="21">
        <f>IF(Allgemeines!F12="","Unter Allgemeines wurde kein Untersuchungsjahr ausgewählt!",Allgemeines!F12)</f>
        <v>2008</v>
      </c>
      <c r="E40" s="7"/>
      <c r="F40" s="7"/>
      <c r="G40" s="7"/>
      <c r="H40" s="7"/>
      <c r="I40" s="7"/>
      <c r="J40" s="7"/>
      <c r="K40" s="7"/>
      <c r="L40" s="7"/>
      <c r="M40" s="8"/>
      <c r="N40" s="123"/>
      <c r="O40" s="128"/>
      <c r="P40" s="128"/>
      <c r="Q40" s="128"/>
      <c r="R40" s="128"/>
      <c r="S40" s="128"/>
      <c r="T40" s="125"/>
      <c r="U40" s="128"/>
      <c r="V40" s="128"/>
      <c r="W40" s="128"/>
      <c r="X40" s="128"/>
      <c r="Y40" s="127"/>
    </row>
    <row r="41" spans="1:25" ht="9.75" customHeight="1">
      <c r="A41" s="6"/>
      <c r="B41" s="7"/>
      <c r="C41" s="7"/>
      <c r="D41" s="7"/>
      <c r="E41" s="7"/>
      <c r="F41" s="7"/>
      <c r="G41" s="7"/>
      <c r="H41" s="7"/>
      <c r="I41" s="7"/>
      <c r="J41" s="7"/>
      <c r="K41" s="7"/>
      <c r="L41" s="7"/>
      <c r="M41" s="8"/>
      <c r="N41" s="123"/>
      <c r="O41" s="128"/>
      <c r="P41" s="128"/>
      <c r="Q41" s="128"/>
      <c r="R41" s="128"/>
      <c r="S41" s="128"/>
      <c r="T41" s="125"/>
      <c r="U41" s="128"/>
      <c r="V41" s="128"/>
      <c r="W41" s="128"/>
      <c r="X41" s="128"/>
      <c r="Y41" s="127"/>
    </row>
    <row r="42" spans="1:25" ht="12.75">
      <c r="A42" s="11"/>
      <c r="B42" s="7"/>
      <c r="C42" s="7"/>
      <c r="D42" s="7" t="s">
        <v>55</v>
      </c>
      <c r="E42" s="7"/>
      <c r="F42" s="7"/>
      <c r="G42" s="7"/>
      <c r="H42" s="7"/>
      <c r="I42" s="7"/>
      <c r="J42" s="7"/>
      <c r="K42" s="7"/>
      <c r="L42" s="7"/>
      <c r="M42" s="8"/>
      <c r="N42" s="123"/>
      <c r="O42" s="128"/>
      <c r="P42" s="128"/>
      <c r="Q42" s="128"/>
      <c r="R42" s="128"/>
      <c r="S42" s="128"/>
      <c r="T42" s="125"/>
      <c r="U42" s="128"/>
      <c r="V42" s="128"/>
      <c r="W42" s="128"/>
      <c r="X42" s="128"/>
      <c r="Y42" s="127"/>
    </row>
    <row r="43" spans="1:25" ht="15.75">
      <c r="A43" s="9" t="s">
        <v>303</v>
      </c>
      <c r="B43" s="10" t="s">
        <v>386</v>
      </c>
      <c r="C43" s="10"/>
      <c r="D43" s="7"/>
      <c r="E43" s="7"/>
      <c r="F43" s="7"/>
      <c r="G43" s="7"/>
      <c r="H43" s="7"/>
      <c r="I43" s="7"/>
      <c r="J43" s="7"/>
      <c r="K43" s="7"/>
      <c r="L43" s="7"/>
      <c r="M43" s="72">
        <f>M5+1</f>
        <v>7</v>
      </c>
      <c r="N43" s="123"/>
      <c r="O43" s="128"/>
      <c r="P43" s="128"/>
      <c r="Q43" s="128"/>
      <c r="R43" s="128"/>
      <c r="S43" s="128"/>
      <c r="T43" s="125"/>
      <c r="U43" s="128"/>
      <c r="V43" s="128"/>
      <c r="W43" s="128"/>
      <c r="X43" s="128"/>
      <c r="Y43" s="127"/>
    </row>
    <row r="44" spans="1:25" ht="15.75">
      <c r="A44" s="9"/>
      <c r="B44" s="10"/>
      <c r="C44" s="10"/>
      <c r="D44" s="7"/>
      <c r="E44" s="7"/>
      <c r="F44" s="7"/>
      <c r="G44" s="7"/>
      <c r="H44" s="7"/>
      <c r="I44" s="7"/>
      <c r="J44" s="7"/>
      <c r="K44" s="7"/>
      <c r="L44" s="7"/>
      <c r="M44" s="185"/>
      <c r="N44" s="123"/>
      <c r="O44" s="125" t="s">
        <v>393</v>
      </c>
      <c r="P44" s="128"/>
      <c r="Q44" s="128"/>
      <c r="R44" s="128"/>
      <c r="S44" s="128"/>
      <c r="T44" s="125"/>
      <c r="U44" s="128"/>
      <c r="V44" s="128"/>
      <c r="W44" s="128"/>
      <c r="X44" s="128"/>
      <c r="Y44" s="127"/>
    </row>
    <row r="45" spans="1:25" ht="15.75">
      <c r="A45" s="9"/>
      <c r="B45" s="10"/>
      <c r="C45" s="10"/>
      <c r="D45" s="7"/>
      <c r="E45" s="7"/>
      <c r="F45" s="7"/>
      <c r="G45" s="7"/>
      <c r="H45" s="7"/>
      <c r="I45" s="7"/>
      <c r="J45" s="183" t="s">
        <v>529</v>
      </c>
      <c r="K45" s="176"/>
      <c r="L45" s="176"/>
      <c r="M45" s="184"/>
      <c r="N45" s="123"/>
      <c r="O45" s="125" t="s">
        <v>392</v>
      </c>
      <c r="P45" s="128"/>
      <c r="Q45" s="128"/>
      <c r="R45" s="146">
        <f>IF(OR(SUM(G25,G27,G28,G32,G33,G34)=0,R7=""),"",SUM(G25,G27,G28,G32,G33,G34)*1000/R7)</f>
      </c>
      <c r="S45" s="128" t="s">
        <v>223</v>
      </c>
      <c r="T45" s="131"/>
      <c r="U45" s="132"/>
      <c r="V45" s="129" t="str">
        <f>IF(SUM(G25,G27,G28,G32,G33,G34)=0,"Mengenangaben fehlen!","")</f>
        <v>Mengenangaben fehlen!</v>
      </c>
      <c r="W45" s="128"/>
      <c r="X45" s="128"/>
      <c r="Y45" s="127"/>
    </row>
    <row r="46" spans="1:25" ht="12.75">
      <c r="A46" s="11" t="s">
        <v>304</v>
      </c>
      <c r="B46" s="7" t="s">
        <v>293</v>
      </c>
      <c r="C46" s="7"/>
      <c r="D46" s="7"/>
      <c r="E46" s="7"/>
      <c r="F46" s="7"/>
      <c r="G46" s="84"/>
      <c r="H46" s="7" t="s">
        <v>76</v>
      </c>
      <c r="I46" s="7"/>
      <c r="J46" s="178"/>
      <c r="K46" s="179" t="s">
        <v>531</v>
      </c>
      <c r="L46" s="84"/>
      <c r="M46" s="175" t="s">
        <v>76</v>
      </c>
      <c r="N46" s="123"/>
      <c r="O46" s="161" t="s">
        <v>329</v>
      </c>
      <c r="P46" s="132"/>
      <c r="Q46" s="132"/>
      <c r="R46" s="146">
        <f>IF(OR(G27="",R7=""),"",G27*1000/R7)</f>
      </c>
      <c r="S46" s="128" t="s">
        <v>223</v>
      </c>
      <c r="T46" s="146">
        <f>IF(OR(R46="",$R$45=""),"",R46/$R$45*100)</f>
      </c>
      <c r="U46" s="132" t="s">
        <v>97</v>
      </c>
      <c r="V46" s="129" t="str">
        <f>IF(G27="","Mengenangaben fehlen!","")</f>
        <v>Mengenangaben fehlen!</v>
      </c>
      <c r="W46" s="128"/>
      <c r="X46" s="128"/>
      <c r="Y46" s="127"/>
    </row>
    <row r="47" spans="1:25" ht="12.75">
      <c r="A47" s="11" t="s">
        <v>305</v>
      </c>
      <c r="B47" s="7" t="s">
        <v>295</v>
      </c>
      <c r="C47" s="7"/>
      <c r="D47" s="7"/>
      <c r="E47" s="7"/>
      <c r="F47" s="7"/>
      <c r="G47" s="84"/>
      <c r="H47" s="7" t="s">
        <v>76</v>
      </c>
      <c r="I47" s="7"/>
      <c r="J47" s="178"/>
      <c r="K47" s="179" t="s">
        <v>532</v>
      </c>
      <c r="L47" s="84"/>
      <c r="M47" s="175" t="s">
        <v>76</v>
      </c>
      <c r="N47" s="123"/>
      <c r="O47" s="161" t="s">
        <v>330</v>
      </c>
      <c r="P47" s="132"/>
      <c r="Q47" s="132"/>
      <c r="R47" s="146">
        <f>IF(OR(SUM(G26,G29)=0,R7=""),"",SUM(G26,G29)*1000/R7)</f>
      </c>
      <c r="S47" s="128" t="s">
        <v>223</v>
      </c>
      <c r="T47" s="146">
        <f>IF(OR(R47="",$R$45=""),"",R47/$R$45*100)</f>
      </c>
      <c r="U47" s="132" t="s">
        <v>97</v>
      </c>
      <c r="V47" s="129" t="str">
        <f>IF(SUM(G26,G29)=0,"Mengenangaben fehlen!","")</f>
        <v>Mengenangaben fehlen!</v>
      </c>
      <c r="W47" s="128"/>
      <c r="X47" s="128"/>
      <c r="Y47" s="127"/>
    </row>
    <row r="48" spans="1:25" ht="12.75">
      <c r="A48" s="11" t="s">
        <v>306</v>
      </c>
      <c r="B48" s="7" t="s">
        <v>571</v>
      </c>
      <c r="C48" s="7"/>
      <c r="D48" s="7"/>
      <c r="E48" s="7"/>
      <c r="F48" s="7"/>
      <c r="G48" s="84"/>
      <c r="H48" s="7" t="s">
        <v>76</v>
      </c>
      <c r="I48" s="7"/>
      <c r="J48" s="178"/>
      <c r="K48" s="179" t="s">
        <v>570</v>
      </c>
      <c r="L48" s="84"/>
      <c r="M48" s="175" t="s">
        <v>76</v>
      </c>
      <c r="N48" s="123"/>
      <c r="O48" s="162" t="s">
        <v>331</v>
      </c>
      <c r="P48" s="128"/>
      <c r="Q48" s="128"/>
      <c r="R48" s="146">
        <f>IF(OR(G30="",R7=""),"",G30*1000/R7)</f>
      </c>
      <c r="S48" s="128" t="s">
        <v>223</v>
      </c>
      <c r="T48" s="146">
        <f>IF(OR(R48="",$R$45=""),"",R48/$R$45*100)</f>
      </c>
      <c r="U48" s="132" t="s">
        <v>97</v>
      </c>
      <c r="V48" s="129" t="str">
        <f>IF(G30="","Mengenangaben fehlen!","")</f>
        <v>Mengenangaben fehlen!</v>
      </c>
      <c r="W48" s="128"/>
      <c r="X48" s="128"/>
      <c r="Y48" s="127"/>
    </row>
    <row r="49" spans="1:25" ht="12.75">
      <c r="A49" s="11" t="s">
        <v>307</v>
      </c>
      <c r="B49" s="7" t="s">
        <v>446</v>
      </c>
      <c r="C49" s="7"/>
      <c r="D49" s="7"/>
      <c r="E49" s="7"/>
      <c r="F49" s="7"/>
      <c r="G49" s="84"/>
      <c r="H49" s="7" t="s">
        <v>76</v>
      </c>
      <c r="I49" s="7"/>
      <c r="J49" s="178"/>
      <c r="K49" s="179" t="s">
        <v>533</v>
      </c>
      <c r="L49" s="84"/>
      <c r="M49" s="175" t="s">
        <v>76</v>
      </c>
      <c r="N49" s="123"/>
      <c r="O49" s="162" t="s">
        <v>334</v>
      </c>
      <c r="P49" s="128"/>
      <c r="Q49" s="128"/>
      <c r="R49" s="146">
        <f>IF(OR(G35="",R7=""),"",G35*1000/R7)</f>
      </c>
      <c r="S49" s="128" t="s">
        <v>223</v>
      </c>
      <c r="T49" s="146">
        <f>IF(OR(R49="",$R$45=""),"",R49/$R$45*100)</f>
      </c>
      <c r="U49" s="132" t="s">
        <v>97</v>
      </c>
      <c r="V49" s="129" t="str">
        <f>IF(G35="","Mengenangaben fehlen!","")</f>
        <v>Mengenangaben fehlen!</v>
      </c>
      <c r="W49" s="128"/>
      <c r="X49" s="128"/>
      <c r="Y49" s="127"/>
    </row>
    <row r="50" spans="1:25" ht="12.75">
      <c r="A50" s="11" t="s">
        <v>375</v>
      </c>
      <c r="B50" s="81" t="s">
        <v>443</v>
      </c>
      <c r="C50" s="7"/>
      <c r="D50" s="7"/>
      <c r="E50" s="7"/>
      <c r="F50" s="7"/>
      <c r="G50" s="84"/>
      <c r="H50" s="7" t="s">
        <v>76</v>
      </c>
      <c r="I50" s="81"/>
      <c r="J50" s="180"/>
      <c r="K50" s="181"/>
      <c r="L50" s="181"/>
      <c r="M50" s="182"/>
      <c r="N50" s="123"/>
      <c r="O50" s="161" t="s">
        <v>298</v>
      </c>
      <c r="P50" s="132"/>
      <c r="Q50" s="132"/>
      <c r="R50" s="146">
        <f>IF(OR(G36="",R7=""),"",G36*1000/R7)</f>
      </c>
      <c r="S50" s="128" t="s">
        <v>223</v>
      </c>
      <c r="T50" s="146">
        <f>IF(OR(R50="",$R$45=""),"",R50/$R$45*100)</f>
      </c>
      <c r="U50" s="132" t="s">
        <v>97</v>
      </c>
      <c r="V50" s="129" t="str">
        <f>IF(G36="","Mengenangaben fehlen!","")</f>
        <v>Mengenangaben fehlen!</v>
      </c>
      <c r="W50" s="128"/>
      <c r="X50" s="128"/>
      <c r="Y50" s="127"/>
    </row>
    <row r="51" spans="1:25" ht="12.75">
      <c r="A51" s="11" t="s">
        <v>447</v>
      </c>
      <c r="B51" s="81" t="s">
        <v>490</v>
      </c>
      <c r="C51" s="7"/>
      <c r="D51" s="7"/>
      <c r="E51" s="7"/>
      <c r="F51" s="7"/>
      <c r="G51" s="84"/>
      <c r="H51" s="7" t="s">
        <v>76</v>
      </c>
      <c r="I51" s="81"/>
      <c r="J51" s="7"/>
      <c r="K51" s="7"/>
      <c r="L51" s="7"/>
      <c r="M51" s="8"/>
      <c r="N51" s="123"/>
      <c r="O51" s="132"/>
      <c r="P51" s="132"/>
      <c r="Q51" s="132"/>
      <c r="R51" s="132"/>
      <c r="S51" s="132"/>
      <c r="T51" s="131"/>
      <c r="U51" s="132"/>
      <c r="V51" s="128"/>
      <c r="W51" s="128"/>
      <c r="X51" s="128"/>
      <c r="Y51" s="127"/>
    </row>
    <row r="52" spans="1:25" ht="12.75">
      <c r="A52" s="11" t="s">
        <v>449</v>
      </c>
      <c r="B52" s="81" t="s">
        <v>444</v>
      </c>
      <c r="C52" s="7"/>
      <c r="D52" s="7"/>
      <c r="E52" s="7"/>
      <c r="F52" s="7"/>
      <c r="G52" s="84"/>
      <c r="H52" s="7" t="s">
        <v>76</v>
      </c>
      <c r="I52" s="81"/>
      <c r="J52" s="7"/>
      <c r="K52" s="7"/>
      <c r="L52" s="7"/>
      <c r="M52" s="8"/>
      <c r="N52" s="123"/>
      <c r="O52" s="132"/>
      <c r="P52" s="132"/>
      <c r="Q52" s="132"/>
      <c r="R52" s="132"/>
      <c r="S52" s="132"/>
      <c r="T52" s="131"/>
      <c r="U52" s="132"/>
      <c r="V52" s="128"/>
      <c r="W52" s="128"/>
      <c r="X52" s="128"/>
      <c r="Y52" s="127"/>
    </row>
    <row r="53" spans="1:25" ht="12.75">
      <c r="A53" s="11" t="s">
        <v>448</v>
      </c>
      <c r="B53" s="81" t="s">
        <v>441</v>
      </c>
      <c r="C53" s="7"/>
      <c r="D53" s="7"/>
      <c r="E53" s="7"/>
      <c r="F53" s="7"/>
      <c r="G53" s="84"/>
      <c r="H53" s="7" t="s">
        <v>76</v>
      </c>
      <c r="I53" s="7"/>
      <c r="J53" s="7"/>
      <c r="K53" s="7"/>
      <c r="L53" s="7"/>
      <c r="M53" s="8"/>
      <c r="N53" s="123"/>
      <c r="O53" s="132"/>
      <c r="P53" s="132"/>
      <c r="Q53" s="132"/>
      <c r="R53" s="132"/>
      <c r="S53" s="132"/>
      <c r="T53" s="131"/>
      <c r="U53" s="132"/>
      <c r="V53" s="128"/>
      <c r="W53" s="128"/>
      <c r="X53" s="128"/>
      <c r="Y53" s="127"/>
    </row>
    <row r="54" spans="1:25" ht="12.75">
      <c r="A54" s="11" t="s">
        <v>450</v>
      </c>
      <c r="B54" s="81" t="s">
        <v>442</v>
      </c>
      <c r="C54" s="7"/>
      <c r="D54" s="7"/>
      <c r="E54" s="7"/>
      <c r="F54" s="7"/>
      <c r="G54" s="84"/>
      <c r="H54" s="7" t="s">
        <v>76</v>
      </c>
      <c r="I54" s="7"/>
      <c r="J54" s="7"/>
      <c r="K54" s="7"/>
      <c r="L54" s="7"/>
      <c r="M54" s="8"/>
      <c r="N54" s="123"/>
      <c r="O54" s="132"/>
      <c r="P54" s="132"/>
      <c r="Q54" s="132"/>
      <c r="R54" s="132"/>
      <c r="S54" s="132"/>
      <c r="T54" s="131"/>
      <c r="U54" s="132"/>
      <c r="V54" s="128"/>
      <c r="W54" s="128"/>
      <c r="X54" s="128"/>
      <c r="Y54" s="127"/>
    </row>
    <row r="55" spans="1:25" ht="12.75">
      <c r="A55" s="11" t="s">
        <v>451</v>
      </c>
      <c r="B55" s="81" t="s">
        <v>489</v>
      </c>
      <c r="C55" s="7"/>
      <c r="D55" s="7"/>
      <c r="E55" s="7"/>
      <c r="F55" s="7"/>
      <c r="G55" s="84"/>
      <c r="H55" s="7" t="s">
        <v>76</v>
      </c>
      <c r="I55" s="7"/>
      <c r="J55" s="7"/>
      <c r="K55" s="7"/>
      <c r="L55" s="7"/>
      <c r="M55" s="8"/>
      <c r="N55" s="123"/>
      <c r="O55" s="132"/>
      <c r="P55" s="132"/>
      <c r="Q55" s="132"/>
      <c r="R55" s="132"/>
      <c r="S55" s="132"/>
      <c r="T55" s="131"/>
      <c r="U55" s="132"/>
      <c r="V55" s="128"/>
      <c r="W55" s="128"/>
      <c r="X55" s="128"/>
      <c r="Y55" s="127"/>
    </row>
    <row r="56" spans="1:25" ht="12.75">
      <c r="A56" s="11" t="s">
        <v>452</v>
      </c>
      <c r="B56" s="7" t="s">
        <v>353</v>
      </c>
      <c r="C56" s="7"/>
      <c r="D56" s="7"/>
      <c r="E56" s="7"/>
      <c r="F56" s="7"/>
      <c r="G56" s="84"/>
      <c r="H56" s="7" t="s">
        <v>76</v>
      </c>
      <c r="I56" s="81"/>
      <c r="J56" s="7"/>
      <c r="K56" s="7"/>
      <c r="L56" s="7"/>
      <c r="M56" s="8"/>
      <c r="N56" s="123"/>
      <c r="O56" s="132"/>
      <c r="P56" s="132"/>
      <c r="Q56" s="132"/>
      <c r="R56" s="132"/>
      <c r="S56" s="132"/>
      <c r="T56" s="131"/>
      <c r="U56" s="132"/>
      <c r="V56" s="128"/>
      <c r="W56" s="128"/>
      <c r="X56" s="128"/>
      <c r="Y56" s="127"/>
    </row>
    <row r="57" spans="1:25" ht="12.75">
      <c r="A57" s="11" t="s">
        <v>453</v>
      </c>
      <c r="B57" s="81" t="s">
        <v>460</v>
      </c>
      <c r="C57" s="7"/>
      <c r="D57" s="7"/>
      <c r="E57" s="7"/>
      <c r="F57" s="7"/>
      <c r="G57" s="84"/>
      <c r="H57" s="7" t="s">
        <v>76</v>
      </c>
      <c r="I57" s="81"/>
      <c r="J57" s="7"/>
      <c r="K57" s="7"/>
      <c r="L57" s="7"/>
      <c r="M57" s="8"/>
      <c r="N57" s="123"/>
      <c r="O57" s="132"/>
      <c r="P57" s="132"/>
      <c r="Q57" s="132"/>
      <c r="R57" s="132"/>
      <c r="S57" s="132"/>
      <c r="T57" s="131"/>
      <c r="U57" s="132"/>
      <c r="V57" s="128"/>
      <c r="W57" s="128"/>
      <c r="X57" s="128"/>
      <c r="Y57" s="127"/>
    </row>
    <row r="58" spans="1:25" ht="12.75">
      <c r="A58" s="11" t="s">
        <v>454</v>
      </c>
      <c r="B58" s="81" t="s">
        <v>461</v>
      </c>
      <c r="C58" s="7"/>
      <c r="D58" s="7"/>
      <c r="E58" s="7"/>
      <c r="F58" s="7"/>
      <c r="G58" s="84"/>
      <c r="H58" s="7" t="s">
        <v>76</v>
      </c>
      <c r="I58" s="81"/>
      <c r="J58" s="7"/>
      <c r="K58" s="7"/>
      <c r="L58" s="7"/>
      <c r="M58" s="8"/>
      <c r="N58" s="123"/>
      <c r="O58" s="132"/>
      <c r="P58" s="132"/>
      <c r="Q58" s="132"/>
      <c r="R58" s="132"/>
      <c r="S58" s="132"/>
      <c r="T58" s="131"/>
      <c r="U58" s="132"/>
      <c r="V58" s="128"/>
      <c r="W58" s="128"/>
      <c r="X58" s="128"/>
      <c r="Y58" s="127"/>
    </row>
    <row r="59" spans="1:25" ht="12.75">
      <c r="A59" s="11" t="s">
        <v>491</v>
      </c>
      <c r="B59" s="81" t="s">
        <v>445</v>
      </c>
      <c r="C59" s="7"/>
      <c r="D59" s="7"/>
      <c r="E59" s="7"/>
      <c r="F59" s="7"/>
      <c r="G59" s="84"/>
      <c r="H59" s="7" t="s">
        <v>76</v>
      </c>
      <c r="I59" s="81"/>
      <c r="J59" s="7"/>
      <c r="K59" s="7"/>
      <c r="L59" s="7"/>
      <c r="M59" s="8"/>
      <c r="N59" s="123"/>
      <c r="O59" s="132"/>
      <c r="P59" s="132"/>
      <c r="Q59" s="132"/>
      <c r="R59" s="132"/>
      <c r="S59" s="132"/>
      <c r="T59" s="131"/>
      <c r="U59" s="132"/>
      <c r="V59" s="128"/>
      <c r="W59" s="128"/>
      <c r="X59" s="128"/>
      <c r="Y59" s="127"/>
    </row>
    <row r="60" spans="1:25" ht="12.75">
      <c r="A60" s="11" t="s">
        <v>492</v>
      </c>
      <c r="B60" s="81" t="s">
        <v>488</v>
      </c>
      <c r="C60" s="7"/>
      <c r="D60" s="7"/>
      <c r="E60" s="7"/>
      <c r="F60" s="7"/>
      <c r="G60" s="84"/>
      <c r="H60" s="7" t="s">
        <v>76</v>
      </c>
      <c r="I60" s="7"/>
      <c r="J60" s="7"/>
      <c r="K60" s="7"/>
      <c r="L60" s="7"/>
      <c r="M60" s="8"/>
      <c r="N60" s="123"/>
      <c r="O60" s="132"/>
      <c r="P60" s="132"/>
      <c r="Q60" s="132"/>
      <c r="R60" s="132"/>
      <c r="S60" s="132"/>
      <c r="T60" s="131"/>
      <c r="U60" s="132"/>
      <c r="V60" s="128"/>
      <c r="W60" s="128"/>
      <c r="X60" s="128"/>
      <c r="Y60" s="127"/>
    </row>
    <row r="61" spans="1:25" ht="14.25" customHeight="1">
      <c r="A61" s="11" t="s">
        <v>569</v>
      </c>
      <c r="B61" s="7" t="s">
        <v>500</v>
      </c>
      <c r="C61" s="7"/>
      <c r="D61" s="7"/>
      <c r="E61" s="7"/>
      <c r="F61" s="7"/>
      <c r="G61" s="84"/>
      <c r="H61" s="7" t="s">
        <v>76</v>
      </c>
      <c r="I61" s="7"/>
      <c r="J61" s="7"/>
      <c r="K61" s="7"/>
      <c r="L61" s="7"/>
      <c r="M61" s="8"/>
      <c r="N61" s="123"/>
      <c r="O61" s="132"/>
      <c r="P61" s="132"/>
      <c r="Q61" s="132"/>
      <c r="R61" s="132"/>
      <c r="S61" s="132"/>
      <c r="T61" s="131"/>
      <c r="U61" s="132"/>
      <c r="V61" s="128"/>
      <c r="W61" s="128"/>
      <c r="X61" s="128"/>
      <c r="Y61" s="127"/>
    </row>
    <row r="62" spans="1:25" ht="12.75">
      <c r="A62" s="11"/>
      <c r="B62" s="7"/>
      <c r="C62" s="7"/>
      <c r="D62" s="7"/>
      <c r="E62" s="7"/>
      <c r="F62" s="7"/>
      <c r="G62" s="7"/>
      <c r="H62" s="7"/>
      <c r="I62" s="7"/>
      <c r="J62" s="7"/>
      <c r="K62" s="7"/>
      <c r="L62" s="7"/>
      <c r="M62" s="8"/>
      <c r="N62" s="123"/>
      <c r="O62" s="132"/>
      <c r="P62" s="132"/>
      <c r="Q62" s="132"/>
      <c r="R62" s="132"/>
      <c r="S62" s="132"/>
      <c r="T62" s="131"/>
      <c r="U62" s="132"/>
      <c r="V62" s="128"/>
      <c r="W62" s="128"/>
      <c r="X62" s="128"/>
      <c r="Y62" s="127"/>
    </row>
    <row r="63" spans="1:25" ht="15.75">
      <c r="A63" s="9" t="s">
        <v>308</v>
      </c>
      <c r="B63" s="10" t="s">
        <v>310</v>
      </c>
      <c r="C63" s="7"/>
      <c r="D63" s="7"/>
      <c r="E63" s="7"/>
      <c r="F63" s="7"/>
      <c r="G63" s="7"/>
      <c r="H63" s="7"/>
      <c r="I63" s="7"/>
      <c r="J63" s="7"/>
      <c r="K63" s="7"/>
      <c r="L63" s="7"/>
      <c r="M63" s="8"/>
      <c r="N63" s="123"/>
      <c r="O63" s="125" t="s">
        <v>335</v>
      </c>
      <c r="P63" s="128"/>
      <c r="Q63" s="128"/>
      <c r="R63" s="158">
        <f>IF(OR(G64="",Allgemeines!Q10=""),"",Altstoffsammelzentrum!G64/Allgemeines!Q10)</f>
      </c>
      <c r="S63" s="128" t="s">
        <v>224</v>
      </c>
      <c r="T63" s="131"/>
      <c r="U63" s="133"/>
      <c r="V63" s="133"/>
      <c r="W63" s="128"/>
      <c r="X63" s="128"/>
      <c r="Y63" s="127"/>
    </row>
    <row r="64" spans="1:25" ht="12.75">
      <c r="A64" s="11" t="s">
        <v>309</v>
      </c>
      <c r="B64" s="7" t="s">
        <v>311</v>
      </c>
      <c r="C64" s="7"/>
      <c r="D64" s="7"/>
      <c r="E64" s="7"/>
      <c r="F64" s="7"/>
      <c r="G64" s="84"/>
      <c r="H64" s="7" t="s">
        <v>76</v>
      </c>
      <c r="I64" s="7"/>
      <c r="J64" s="7"/>
      <c r="K64" s="7"/>
      <c r="L64" s="7"/>
      <c r="M64" s="8"/>
      <c r="N64" s="123"/>
      <c r="O64" s="161" t="s">
        <v>336</v>
      </c>
      <c r="P64" s="132"/>
      <c r="Q64" s="132"/>
      <c r="R64" s="133" t="str">
        <f>IF(G64="","Kostenangaben fehlen!","")</f>
        <v>Kostenangaben fehlen!</v>
      </c>
      <c r="S64" s="132"/>
      <c r="T64" s="133"/>
      <c r="U64" s="133" t="str">
        <f>IF(Allgemeines!Q10="","Angaben zu den Einwohnern fehlen!","")</f>
        <v>Angaben zu den Einwohnern fehlen!</v>
      </c>
      <c r="V64" s="133"/>
      <c r="W64" s="128"/>
      <c r="X64" s="128"/>
      <c r="Y64" s="127"/>
    </row>
    <row r="65" spans="1:25" ht="12.75">
      <c r="A65" s="11"/>
      <c r="B65" s="7"/>
      <c r="C65" s="7"/>
      <c r="D65" s="7"/>
      <c r="E65" s="7"/>
      <c r="F65" s="7"/>
      <c r="G65" s="7"/>
      <c r="H65" s="7"/>
      <c r="I65" s="7"/>
      <c r="J65" s="7"/>
      <c r="K65" s="7"/>
      <c r="L65" s="7"/>
      <c r="M65" s="8"/>
      <c r="N65" s="123"/>
      <c r="O65" s="132"/>
      <c r="P65" s="132"/>
      <c r="Q65" s="132"/>
      <c r="R65" s="132"/>
      <c r="S65" s="132"/>
      <c r="T65" s="131"/>
      <c r="U65" s="132"/>
      <c r="V65" s="128"/>
      <c r="W65" s="128"/>
      <c r="X65" s="128"/>
      <c r="Y65" s="127"/>
    </row>
    <row r="66" spans="1:25" ht="12.75">
      <c r="A66" s="18"/>
      <c r="B66" s="19"/>
      <c r="C66" s="19"/>
      <c r="D66" s="19"/>
      <c r="E66" s="19"/>
      <c r="F66" s="19"/>
      <c r="G66" s="19"/>
      <c r="H66" s="19"/>
      <c r="I66" s="19"/>
      <c r="J66" s="19"/>
      <c r="K66" s="19"/>
      <c r="L66" s="19"/>
      <c r="M66" s="20"/>
      <c r="N66" s="139"/>
      <c r="O66" s="163"/>
      <c r="P66" s="163"/>
      <c r="Q66" s="163"/>
      <c r="R66" s="163"/>
      <c r="S66" s="163"/>
      <c r="T66" s="141"/>
      <c r="U66" s="163"/>
      <c r="V66" s="163"/>
      <c r="W66" s="163"/>
      <c r="X66" s="163"/>
      <c r="Y66" s="143"/>
    </row>
  </sheetData>
  <sheetProtection password="CF5B" sheet="1" objects="1" scenarios="1" selectLockedCells="1"/>
  <mergeCells count="2">
    <mergeCell ref="K9:L9"/>
    <mergeCell ref="K8:L8"/>
  </mergeCells>
  <printOptions/>
  <pageMargins left="0.3937007874015748" right="0.3937007874015748" top="0.25" bottom="0.1968503937007874" header="0.11811023622047245" footer="0.5118110236220472"/>
  <pageSetup fitToWidth="2" horizontalDpi="600" verticalDpi="600" orientation="landscape" paperSize="9" r:id="rId4"/>
  <rowBreaks count="1" manualBreakCount="1">
    <brk id="38" max="24" man="1"/>
  </rowBreaks>
  <colBreaks count="1" manualBreakCount="1">
    <brk id="13" max="6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adloff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Matthias Adloff</dc:creator>
  <cp:keywords/>
  <dc:description/>
  <cp:lastModifiedBy>Robert Ritter</cp:lastModifiedBy>
  <cp:lastPrinted>2009-04-30T11:55:32Z</cp:lastPrinted>
  <dcterms:created xsi:type="dcterms:W3CDTF">2008-02-01T12:05:17Z</dcterms:created>
  <dcterms:modified xsi:type="dcterms:W3CDTF">2009-05-04T06:31:24Z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